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3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ONCO'!$A$1:$I$41</definedName>
    <definedName name="_xlnm.Print_Area" localSheetId="11">'CV UNICE'!$A$1:$I$41</definedName>
  </definedNames>
  <calcPr fullCalcOnLoad="1"/>
</workbook>
</file>

<file path=xl/sharedStrings.xml><?xml version="1.0" encoding="utf-8"?>
<sst xmlns="http://schemas.openxmlformats.org/spreadsheetml/2006/main" count="550" uniqueCount="93">
  <si>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</si>
  <si>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</si>
  <si>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</si>
  <si>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</si>
  <si>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</si>
  <si>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</si>
  <si>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</si>
  <si>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</si>
  <si>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</si>
  <si>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</si>
  <si>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</si>
  <si>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</si>
  <si>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</si>
  <si>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</si>
  <si>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</si>
  <si>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</si>
  <si>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</si>
  <si>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</si>
  <si>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</si>
  <si>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</si>
  <si>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</si>
  <si>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</si>
  <si>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</si>
  <si>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</si>
  <si>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</si>
  <si>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</si>
  <si>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</si>
  <si>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</si>
  <si>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</si>
  <si>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</si>
  <si>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</si>
  <si>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</si>
  <si>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</si>
  <si>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</si>
  <si>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</si>
  <si>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</si>
  <si>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</si>
  <si>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</si>
  <si>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</si>
  <si>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</si>
  <si>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</si>
  <si>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</si>
  <si>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</si>
  <si>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</si>
  <si>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</si>
  <si>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</si>
  <si>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</si>
  <si>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</si>
  <si>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</si>
  <si>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</si>
  <si>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</si>
  <si>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</si>
  <si>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</si>
  <si>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</si>
  <si>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</si>
  <si>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</si>
  <si>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</si>
  <si>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</si>
  <si>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</si>
  <si>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</si>
  <si>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</si>
  <si>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</si>
  <si>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</si>
  <si>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</si>
  <si>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</si>
  <si>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</si>
  <si>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</si>
  <si>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</si>
  <si>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</si>
  <si>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</si>
  <si>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</si>
  <si>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</si>
  <si>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</si>
  <si>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</si>
  <si>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</si>
  <si>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</si>
  <si>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</si>
  <si>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</si>
  <si>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</si>
  <si>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</si>
  <si>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SITUATIA CONSUMULUI DE MEDICAMENTE PENTRU PENSIONARI CU PENSII&lt;= 1299 LEI DECEMBRIE 2020</t>
  </si>
  <si>
    <t>SITUATIA CONSUMULUI DE MEDICAMENTE COST VOLUM PENTRU PENSIONARI  PANA LA 1299 LEI DECEMBRIE 2020</t>
  </si>
  <si>
    <t>SITUATIA CONSUMULUI DE MEDICAMENTE PENTRU DIABET   LUNA DECEMBRIE 2020</t>
  </si>
  <si>
    <t>SITUATIA CONSUMULUI DE MEDICAMENTE PENTRU INSULINE LUNA DECEMBRIE 2020</t>
  </si>
  <si>
    <t>SITUATIA CONSUMULUI DE MEDICAMENTE LA  DIABET SI INSULINE DECEMBRIE 2020</t>
  </si>
  <si>
    <t>SITUATIA CONSUMULUI LA TESTE PENTRU LUNA DECEMBRIE 2020</t>
  </si>
  <si>
    <t>SITUATIA CONSUMULUI DE MEDICAMENTE PENTRU PNS COST VOLUM   LUNA DECEMBRIE 2020</t>
  </si>
  <si>
    <t>SITUATIA CONSUMULUI DE MEDICAMENTE PENTRU ONCOLOGIE  LUNA DECEMBRIE 2020</t>
  </si>
  <si>
    <t>SITUATIA CONSUMULUI DE MEDICAMENTE LA STARI POSTTRANSPLANT DECEMBRIE 2020</t>
  </si>
  <si>
    <t>SITUATIA CONSUMULUI DE MEDICAMENTE PENTRU SCLEROZA   LUNA DECEMBRIE 2020</t>
  </si>
  <si>
    <t>SITUATIA CONSUMULUI DE MEDIC. PENTRU UNICE COST VOLUM   LUNA DECEMBRIE 2020</t>
  </si>
  <si>
    <t>SITUATIA CONSUMULUI DE MEDICAMENTE LA STARI MUCOVISCIDOZA DECEMBRIE 2020</t>
  </si>
  <si>
    <t>SITUATIA CONSUMULUI DE MEDICAMENTE IN LUNA DECEMBRIE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</si>
</sst>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9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1"/>
  <sheetViews>
    <sheetView workbookViewId="0" topLeftCell="G1">
      <selection activeCell="U28" sqref="U28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92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38377+8597.31+5563.92+3652.63</f>
        <v>56190.85999999999</v>
      </c>
      <c r="D5" s="25">
        <f>43318.78+5195.72+4923+3064.36</f>
        <v>56501.86</v>
      </c>
      <c r="E5" s="25">
        <f>45110.06+2478.46+4384.69+1148.46</f>
        <v>53121.67</v>
      </c>
      <c r="F5" s="25">
        <f>1501.79+322.82+217.78+1513.65</f>
        <v>3556.04</v>
      </c>
      <c r="G5" s="25">
        <f>386.06+639.91+227.12+4009.5</f>
        <v>5262.59</v>
      </c>
      <c r="H5" s="26">
        <v>1147.28</v>
      </c>
      <c r="I5" s="25"/>
      <c r="J5" s="25"/>
      <c r="K5" s="25">
        <v>2262.5</v>
      </c>
      <c r="L5" s="25">
        <v>27608.45</v>
      </c>
      <c r="M5" s="25"/>
      <c r="N5" s="25">
        <v>11095.72</v>
      </c>
      <c r="O5" s="25"/>
      <c r="P5" s="25">
        <v>7829.56</v>
      </c>
      <c r="Q5" s="57">
        <f>H5+I5+J5+K5+L5+M5+N5+O5+P5</f>
        <v>49943.509999999995</v>
      </c>
      <c r="R5" s="58">
        <f aca="true" t="shared" si="0" ref="R5:R39">C5+D5+E5+F5+G5+H5+I5+J5+K5+L5+M5+N5+O5+P5</f>
        <v>224576.53000000003</v>
      </c>
      <c r="S5" s="59">
        <f>R5-Q5</f>
        <v>174633.02000000002</v>
      </c>
      <c r="U5" s="62"/>
    </row>
    <row r="6" spans="1:21" ht="15.75">
      <c r="A6" s="55">
        <v>2</v>
      </c>
      <c r="B6" s="56" t="s">
        <v>7</v>
      </c>
      <c r="C6" s="25">
        <f>9294.16+7390.82</f>
        <v>16684.98</v>
      </c>
      <c r="D6" s="25">
        <f>12177.68+6763.85</f>
        <v>18941.53</v>
      </c>
      <c r="E6" s="25">
        <f>4000.38+7085.06</f>
        <v>11085.44</v>
      </c>
      <c r="F6" s="25">
        <f>241.63+100.13</f>
        <v>341.76</v>
      </c>
      <c r="G6" s="25">
        <f>1747.41+1144.68</f>
        <v>2892.09</v>
      </c>
      <c r="H6" s="26">
        <v>163.9</v>
      </c>
      <c r="I6" s="25"/>
      <c r="J6" s="25">
        <v>4528.58</v>
      </c>
      <c r="K6" s="25"/>
      <c r="L6" s="25">
        <f>3315+3639.27</f>
        <v>6954.27</v>
      </c>
      <c r="M6" s="25"/>
      <c r="N6" s="25">
        <v>2783.53</v>
      </c>
      <c r="O6" s="25"/>
      <c r="P6" s="25"/>
      <c r="Q6" s="57">
        <f aca="true" t="shared" si="1" ref="Q6:Q39">H6+I6+J6+K6+L6+M6+N6+O6+P6</f>
        <v>14430.28</v>
      </c>
      <c r="R6" s="58">
        <f t="shared" si="0"/>
        <v>64376.08</v>
      </c>
      <c r="S6" s="59">
        <f aca="true" t="shared" si="2" ref="S6:S39">R6-Q6</f>
        <v>49945.8</v>
      </c>
      <c r="U6" s="62"/>
    </row>
    <row r="7" spans="1:21" ht="15.75">
      <c r="A7" s="55">
        <v>3</v>
      </c>
      <c r="B7" s="56" t="s">
        <v>8</v>
      </c>
      <c r="C7" s="25">
        <f>5347.13+4521.65+3764.86+9746.59</f>
        <v>23380.23</v>
      </c>
      <c r="D7" s="25">
        <f>6686.85+3149.06+4831.54+7505.95</f>
        <v>22173.4</v>
      </c>
      <c r="E7" s="25">
        <f>3212.17+701.46+594.47+5904.28</f>
        <v>10412.380000000001</v>
      </c>
      <c r="F7" s="25">
        <f>979.78+811.5+465.86+1752.39</f>
        <v>4009.5299999999997</v>
      </c>
      <c r="G7" s="25">
        <f>930.45+249.29+406.17+856.87</f>
        <v>2442.78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62418.32000000001</v>
      </c>
      <c r="S7" s="59">
        <f t="shared" si="2"/>
        <v>62418.32000000001</v>
      </c>
      <c r="U7" s="62"/>
    </row>
    <row r="8" spans="1:21" ht="15.75">
      <c r="A8" s="55">
        <v>4</v>
      </c>
      <c r="B8" s="56" t="s">
        <v>9</v>
      </c>
      <c r="C8" s="25">
        <f>5894.05+7878.14+5187.95</f>
        <v>18960.14</v>
      </c>
      <c r="D8" s="25">
        <f>5551.5+7625.91+4930.9</f>
        <v>18108.309999999998</v>
      </c>
      <c r="E8" s="25">
        <f>4522.48+5958.19+2995.68</f>
        <v>13476.349999999999</v>
      </c>
      <c r="F8" s="25">
        <f>618.24+125.18+297.33</f>
        <v>1040.75</v>
      </c>
      <c r="G8" s="25">
        <f>1427.98+787.36+630.84</f>
        <v>2846.1800000000003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54431.729999999996</v>
      </c>
      <c r="S8" s="59">
        <f t="shared" si="2"/>
        <v>54431.729999999996</v>
      </c>
      <c r="U8" s="62"/>
    </row>
    <row r="9" spans="1:21" ht="15.75">
      <c r="A9" s="55">
        <v>5</v>
      </c>
      <c r="B9" s="56" t="s">
        <v>10</v>
      </c>
      <c r="C9" s="25">
        <f>35663.28+1846.12</f>
        <v>37509.4</v>
      </c>
      <c r="D9" s="25">
        <f>27548.02+1274.46</f>
        <v>28822.48</v>
      </c>
      <c r="E9" s="25">
        <f>27107.07+764.76</f>
        <v>27871.829999999998</v>
      </c>
      <c r="F9" s="26">
        <f>341.6+47.66</f>
        <v>389.26</v>
      </c>
      <c r="G9" s="25">
        <f>2527.58+240.98</f>
        <v>2768.56</v>
      </c>
      <c r="H9" s="26"/>
      <c r="J9" s="25"/>
      <c r="K9" s="25"/>
      <c r="L9" s="25"/>
      <c r="M9" s="25"/>
      <c r="N9" s="25">
        <v>2589.12</v>
      </c>
      <c r="O9" s="25"/>
      <c r="P9" s="25"/>
      <c r="Q9" s="57">
        <f t="shared" si="1"/>
        <v>2589.12</v>
      </c>
      <c r="R9" s="58">
        <f t="shared" si="0"/>
        <v>99950.65</v>
      </c>
      <c r="S9" s="59">
        <f t="shared" si="2"/>
        <v>97361.53</v>
      </c>
      <c r="U9" s="62"/>
    </row>
    <row r="10" spans="1:23" ht="15.75">
      <c r="A10" s="55">
        <v>6</v>
      </c>
      <c r="B10" s="56" t="s">
        <v>11</v>
      </c>
      <c r="C10" s="25">
        <f>19131.36+11738.46+5280.33+7486.33+14218.96</f>
        <v>57855.44</v>
      </c>
      <c r="D10" s="25">
        <f>25464.53+13765.44+4871.76+7064.67+18533.6</f>
        <v>69700</v>
      </c>
      <c r="E10" s="25">
        <f>38780.51+8716.18+6124.49+4796.95+68874.86</f>
        <v>127292.98999999999</v>
      </c>
      <c r="F10" s="25">
        <f>748.64+1105.71+129.65+771.69+1553.88</f>
        <v>4309.57</v>
      </c>
      <c r="G10" s="25">
        <f>3095.4+1673.48+463.49+721.2+1896.58</f>
        <v>7850.15</v>
      </c>
      <c r="H10" s="26">
        <f>1887.89+491.69</f>
        <v>2379.58</v>
      </c>
      <c r="I10" s="25"/>
      <c r="J10" s="25"/>
      <c r="K10" s="25"/>
      <c r="L10" s="25">
        <f>3315+11082.12+6557.12</f>
        <v>20954.24</v>
      </c>
      <c r="M10" s="25">
        <v>2262.5</v>
      </c>
      <c r="N10" s="25">
        <f>6049.69+2262.5</f>
        <v>8312.189999999999</v>
      </c>
      <c r="O10" s="25"/>
      <c r="P10" s="25">
        <v>5032.62</v>
      </c>
      <c r="Q10" s="57">
        <f t="shared" si="1"/>
        <v>38941.13</v>
      </c>
      <c r="R10" s="58">
        <f t="shared" si="0"/>
        <v>305949.28</v>
      </c>
      <c r="S10" s="59">
        <f t="shared" si="2"/>
        <v>267008.15</v>
      </c>
      <c r="U10" s="62"/>
      <c r="W10" s="72"/>
    </row>
    <row r="11" spans="1:21" ht="15.75">
      <c r="A11" s="55">
        <v>7</v>
      </c>
      <c r="B11" s="56" t="s">
        <v>59</v>
      </c>
      <c r="C11" s="25">
        <f>15526.48+14010.82+9874.97+7153.07+7608.53+2174.36+5698.1</f>
        <v>62046.329999999994</v>
      </c>
      <c r="D11" s="25">
        <f>23295.14+15842.76+11508.86+9272.85+9284.32+1490.74+4907.74</f>
        <v>75602.41</v>
      </c>
      <c r="E11" s="25">
        <f>10902.09+15724.72+3651.34+6361.53+3731.49+943.66+3868.62</f>
        <v>45183.450000000004</v>
      </c>
      <c r="F11" s="25">
        <f>1079.59+936.48+1081.54+206.65+484.09+112.47+1149.76</f>
        <v>5050.58</v>
      </c>
      <c r="G11" s="25">
        <f>2897.1+1139.91+916.84+574.15+1635.63+257.3+589.72</f>
        <v>8010.650000000001</v>
      </c>
      <c r="H11" s="26">
        <v>491.69</v>
      </c>
      <c r="I11" s="25"/>
      <c r="J11" s="25"/>
      <c r="K11" s="25">
        <v>2262.5</v>
      </c>
      <c r="L11" s="25"/>
      <c r="M11" s="25"/>
      <c r="N11" s="25">
        <v>2262.5</v>
      </c>
      <c r="O11" s="25"/>
      <c r="P11" s="25"/>
      <c r="Q11" s="57">
        <f t="shared" si="1"/>
        <v>5016.6900000000005</v>
      </c>
      <c r="R11" s="58">
        <f t="shared" si="0"/>
        <v>200910.11</v>
      </c>
      <c r="S11" s="59">
        <f t="shared" si="2"/>
        <v>195893.41999999998</v>
      </c>
      <c r="U11" s="62"/>
    </row>
    <row r="12" spans="1:21" ht="15.75">
      <c r="A12" s="55">
        <v>8</v>
      </c>
      <c r="B12" s="56" t="s">
        <v>12</v>
      </c>
      <c r="C12" s="25">
        <v>11445.52</v>
      </c>
      <c r="D12" s="25">
        <v>26806.4</v>
      </c>
      <c r="E12" s="25">
        <v>38862.38</v>
      </c>
      <c r="F12" s="25">
        <v>652.63</v>
      </c>
      <c r="G12" s="25">
        <v>874.78</v>
      </c>
      <c r="H12" s="26">
        <v>2834.06</v>
      </c>
      <c r="I12" s="25">
        <v>163.89</v>
      </c>
      <c r="J12" s="25">
        <v>3404.54</v>
      </c>
      <c r="K12" s="25"/>
      <c r="L12" s="25">
        <v>10539.56</v>
      </c>
      <c r="M12" s="25"/>
      <c r="N12" s="25">
        <v>8892.5</v>
      </c>
      <c r="O12" s="25"/>
      <c r="P12" s="25"/>
      <c r="Q12" s="57">
        <f t="shared" si="1"/>
        <v>25834.55</v>
      </c>
      <c r="R12" s="58">
        <f t="shared" si="0"/>
        <v>104476.25999999998</v>
      </c>
      <c r="S12" s="59">
        <f t="shared" si="2"/>
        <v>78641.70999999998</v>
      </c>
      <c r="U12" s="62"/>
    </row>
    <row r="13" spans="1:21" ht="15.75">
      <c r="A13" s="55">
        <v>9</v>
      </c>
      <c r="B13" s="56" t="s">
        <v>13</v>
      </c>
      <c r="C13" s="25">
        <f>8112.15+10899.5</f>
        <v>19011.65</v>
      </c>
      <c r="D13" s="27">
        <f>10484.61+14047.38</f>
        <v>24531.989999999998</v>
      </c>
      <c r="E13" s="25">
        <f>19780.95+6038.9</f>
        <v>25819.85</v>
      </c>
      <c r="F13" s="25">
        <f>182.03+655.91</f>
        <v>837.9399999999999</v>
      </c>
      <c r="G13" s="25">
        <f>1106.59+1262.76</f>
        <v>2369.35</v>
      </c>
      <c r="H13" s="26">
        <v>491.69</v>
      </c>
      <c r="I13" s="25"/>
      <c r="J13" s="25"/>
      <c r="K13" s="25"/>
      <c r="L13" s="25"/>
      <c r="M13" s="25"/>
      <c r="N13" s="25"/>
      <c r="O13" s="25"/>
      <c r="P13" s="25"/>
      <c r="Q13" s="57">
        <f t="shared" si="1"/>
        <v>491.69</v>
      </c>
      <c r="R13" s="58">
        <f t="shared" si="0"/>
        <v>73062.47</v>
      </c>
      <c r="S13" s="59">
        <f t="shared" si="2"/>
        <v>72570.78</v>
      </c>
      <c r="U13" s="62"/>
    </row>
    <row r="14" spans="1:21" ht="15.75">
      <c r="A14" s="55">
        <v>10</v>
      </c>
      <c r="B14" s="56" t="s">
        <v>14</v>
      </c>
      <c r="C14" s="25">
        <f>22695.43+15263.39+24285.22</f>
        <v>62244.04</v>
      </c>
      <c r="D14" s="25">
        <f>25806.01+16728.24+29349.3</f>
        <v>71883.55</v>
      </c>
      <c r="E14" s="25">
        <f>12569.3+11850.18+13656.63</f>
        <v>38076.11</v>
      </c>
      <c r="F14" s="25">
        <f>468.26+805.93+1704.89</f>
        <v>2979.08</v>
      </c>
      <c r="G14" s="25">
        <f>3585.38+1816.98+2686.59</f>
        <v>8088.950000000001</v>
      </c>
      <c r="H14" s="26">
        <f>491.7</f>
        <v>491.7</v>
      </c>
      <c r="I14" s="25"/>
      <c r="J14" s="25"/>
      <c r="K14" s="25"/>
      <c r="L14" s="25">
        <f>2783.53+6787.5+7829.56</f>
        <v>17400.59</v>
      </c>
      <c r="M14" s="25">
        <f>1131.25</f>
        <v>1131.25</v>
      </c>
      <c r="N14" s="25">
        <f>7308.53+12964.78</f>
        <v>20273.31</v>
      </c>
      <c r="O14" s="25">
        <v>1843.14</v>
      </c>
      <c r="P14" s="25">
        <v>2262.5</v>
      </c>
      <c r="Q14" s="57">
        <f t="shared" si="1"/>
        <v>43402.490000000005</v>
      </c>
      <c r="R14" s="58">
        <f t="shared" si="0"/>
        <v>226674.22000000003</v>
      </c>
      <c r="S14" s="59">
        <f t="shared" si="2"/>
        <v>183271.73000000004</v>
      </c>
      <c r="U14" s="62"/>
    </row>
    <row r="15" spans="1:21" ht="15.75">
      <c r="A15" s="55">
        <v>11</v>
      </c>
      <c r="B15" s="56" t="s">
        <v>15</v>
      </c>
      <c r="C15" s="25">
        <v>26878.46</v>
      </c>
      <c r="D15" s="25">
        <v>31466.64</v>
      </c>
      <c r="E15" s="25">
        <v>23255.98</v>
      </c>
      <c r="F15" s="25">
        <v>1701.13</v>
      </c>
      <c r="G15" s="25">
        <v>3927.61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87229.82</v>
      </c>
      <c r="S15" s="59">
        <f t="shared" si="2"/>
        <v>87229.82</v>
      </c>
      <c r="U15" s="62"/>
    </row>
    <row r="16" spans="1:22" ht="15.75">
      <c r="A16" s="55">
        <v>12</v>
      </c>
      <c r="B16" s="56" t="s">
        <v>16</v>
      </c>
      <c r="C16" s="25">
        <v>18388.62</v>
      </c>
      <c r="D16" s="25">
        <v>13308.57</v>
      </c>
      <c r="E16" s="25">
        <v>5371.87</v>
      </c>
      <c r="F16" s="25">
        <v>789.38</v>
      </c>
      <c r="G16" s="25">
        <v>1425.05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39283.49</v>
      </c>
      <c r="S16" s="59">
        <f t="shared" si="2"/>
        <v>39283.49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37247.23+14698.85+4975.57</f>
        <v>56921.65</v>
      </c>
      <c r="D17" s="25">
        <f>29505.21+11715.94+4160.82</f>
        <v>45381.97</v>
      </c>
      <c r="E17" s="25">
        <f>18748.89+10124.16+7496.6</f>
        <v>36369.65</v>
      </c>
      <c r="F17" s="25">
        <f>3559.96+1053.07+188.63</f>
        <v>4801.66</v>
      </c>
      <c r="G17" s="25">
        <f>2623.32+660.2+158.66</f>
        <v>3442.1800000000003</v>
      </c>
      <c r="H17" s="26"/>
      <c r="I17" s="25"/>
      <c r="J17" s="25">
        <v>3403.62</v>
      </c>
      <c r="K17" s="25"/>
      <c r="L17" s="25">
        <v>2262.5</v>
      </c>
      <c r="M17" s="25"/>
      <c r="N17" s="25"/>
      <c r="O17" s="25"/>
      <c r="P17" s="25"/>
      <c r="Q17" s="57">
        <f t="shared" si="1"/>
        <v>5666.12</v>
      </c>
      <c r="R17" s="58">
        <f t="shared" si="0"/>
        <v>152583.22999999998</v>
      </c>
      <c r="S17" s="59">
        <f t="shared" si="2"/>
        <v>146917.11</v>
      </c>
      <c r="U17" s="62"/>
    </row>
    <row r="18" spans="1:21" ht="15.75">
      <c r="A18" s="55">
        <v>14</v>
      </c>
      <c r="B18" s="56" t="s">
        <v>18</v>
      </c>
      <c r="C18" s="25">
        <f>12114.87+2606.34</f>
        <v>14721.210000000001</v>
      </c>
      <c r="D18" s="25">
        <f>11557.37+2937.93</f>
        <v>14495.300000000001</v>
      </c>
      <c r="E18" s="25">
        <f>5162.63+2426.05</f>
        <v>7588.68</v>
      </c>
      <c r="F18" s="25">
        <f>380.93+65.16</f>
        <v>446.09000000000003</v>
      </c>
      <c r="G18" s="25">
        <f>1563.48+571.28</f>
        <v>2134.76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39386.04</v>
      </c>
      <c r="S18" s="59">
        <f t="shared" si="2"/>
        <v>39386.04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4635.63+2820.98+1609.1+2765.05</f>
        <v>11830.760000000002</v>
      </c>
      <c r="D20" s="25">
        <f>4838.44+2638.15+1682.69+3425.38</f>
        <v>12584.66</v>
      </c>
      <c r="E20" s="25">
        <f>1298.34+599.98+767.8+1093.63</f>
        <v>3759.75</v>
      </c>
      <c r="F20" s="25">
        <f>602.26+256.89+138.21+287.24</f>
        <v>1284.6</v>
      </c>
      <c r="G20" s="25">
        <f>367.4+573.03+152.78+248.68</f>
        <v>1341.89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30801.66</v>
      </c>
      <c r="S20" s="59">
        <f t="shared" si="2"/>
        <v>30801.66</v>
      </c>
      <c r="U20" s="62"/>
    </row>
    <row r="21" spans="1:21" ht="15.75">
      <c r="A21" s="55">
        <v>17</v>
      </c>
      <c r="B21" s="56" t="s">
        <v>21</v>
      </c>
      <c r="C21" s="25">
        <v>16056</v>
      </c>
      <c r="D21" s="25">
        <v>16674.41</v>
      </c>
      <c r="E21" s="25">
        <v>11174.53</v>
      </c>
      <c r="F21" s="25">
        <v>42.38</v>
      </c>
      <c r="G21" s="25">
        <v>3144.26</v>
      </c>
      <c r="H21" s="26">
        <v>1639.04</v>
      </c>
      <c r="I21" s="25"/>
      <c r="J21" s="25"/>
      <c r="K21" s="25"/>
      <c r="L21" s="25"/>
      <c r="M21" s="25"/>
      <c r="N21" s="25">
        <v>3787.19</v>
      </c>
      <c r="O21" s="25"/>
      <c r="P21" s="25"/>
      <c r="Q21" s="57">
        <f t="shared" si="1"/>
        <v>5426.23</v>
      </c>
      <c r="R21" s="58">
        <f t="shared" si="0"/>
        <v>52517.810000000005</v>
      </c>
      <c r="S21" s="59">
        <f t="shared" si="2"/>
        <v>47091.58</v>
      </c>
      <c r="U21" s="62"/>
    </row>
    <row r="22" spans="1:21" ht="15.75">
      <c r="A22" s="55">
        <v>18</v>
      </c>
      <c r="B22" s="56" t="s">
        <v>22</v>
      </c>
      <c r="C22" s="25">
        <f>14979.02+4100.05+16077.79+2271.9+8725.26+2703.34</f>
        <v>48857.36</v>
      </c>
      <c r="D22" s="25">
        <f>22395.74+3765.77+14546.22+2979.79+5284.65+3068.48</f>
        <v>52040.65000000001</v>
      </c>
      <c r="E22" s="25">
        <f>23106.02+1788.28+11085.92+693.58+275.02+1383.76</f>
        <v>38332.58</v>
      </c>
      <c r="F22" s="25">
        <f>1555.03+546.12+375.08+84.11+12403.19+259.16</f>
        <v>15222.69</v>
      </c>
      <c r="G22" s="25">
        <f>2713.38+266.87+2060.06+441.06+616.71+329.59</f>
        <v>6427.67</v>
      </c>
      <c r="H22" s="26">
        <v>983.39</v>
      </c>
      <c r="I22" s="25"/>
      <c r="J22" s="25"/>
      <c r="K22" s="25">
        <v>4525.01</v>
      </c>
      <c r="L22" s="25">
        <v>5567.06</v>
      </c>
      <c r="M22" s="25"/>
      <c r="N22" s="25"/>
      <c r="O22" s="25"/>
      <c r="P22" s="25"/>
      <c r="Q22" s="57">
        <f t="shared" si="1"/>
        <v>11075.460000000001</v>
      </c>
      <c r="R22" s="58">
        <f t="shared" si="0"/>
        <v>171956.41000000006</v>
      </c>
      <c r="S22" s="59">
        <f t="shared" si="2"/>
        <v>160880.95000000007</v>
      </c>
      <c r="U22" s="62"/>
    </row>
    <row r="23" spans="1:21" ht="15.75">
      <c r="A23" s="55">
        <v>19</v>
      </c>
      <c r="B23" s="56" t="s">
        <v>23</v>
      </c>
      <c r="C23" s="25">
        <v>5181.79</v>
      </c>
      <c r="D23" s="25">
        <v>3941.73</v>
      </c>
      <c r="E23" s="25">
        <v>3124.47</v>
      </c>
      <c r="F23" s="25">
        <v>92.92</v>
      </c>
      <c r="G23" s="25">
        <v>591.01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12931.92</v>
      </c>
      <c r="S23" s="59">
        <f t="shared" si="2"/>
        <v>12931.92</v>
      </c>
      <c r="U23" s="62"/>
    </row>
    <row r="24" spans="1:21" ht="15.75">
      <c r="A24" s="55">
        <v>20</v>
      </c>
      <c r="B24" s="56" t="s">
        <v>24</v>
      </c>
      <c r="C24" s="25">
        <f>7356.72+4523.96</f>
        <v>11880.68</v>
      </c>
      <c r="D24" s="25">
        <f>5350.64+5420.89</f>
        <v>10771.53</v>
      </c>
      <c r="E24" s="25">
        <f>2625.31+2674.47</f>
        <v>5299.78</v>
      </c>
      <c r="F24" s="25">
        <f>1297.79+886.76</f>
        <v>2184.55</v>
      </c>
      <c r="G24" s="25">
        <f>620+1085.74</f>
        <v>1705.74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31842.28</v>
      </c>
      <c r="S24" s="59">
        <f t="shared" si="2"/>
        <v>31842.28</v>
      </c>
      <c r="U24" s="62"/>
    </row>
    <row r="25" spans="1:21" ht="15.75">
      <c r="A25" s="55">
        <v>21</v>
      </c>
      <c r="B25" s="56" t="s">
        <v>25</v>
      </c>
      <c r="C25" s="25">
        <f>5168.62+6688.33+14082.01+5631.44</f>
        <v>31570.399999999998</v>
      </c>
      <c r="D25" s="25">
        <f>7436.16+12278.24+19574.12+7311.78</f>
        <v>46600.3</v>
      </c>
      <c r="E25" s="25">
        <f>3712.73+5997.42+20639.68+1969</f>
        <v>32318.83</v>
      </c>
      <c r="F25" s="25">
        <f>385.24+489.17+617.03+808.74</f>
        <v>2300.1800000000003</v>
      </c>
      <c r="G25" s="25">
        <f>556.54+991.18+1180.95+389.19</f>
        <v>3117.86</v>
      </c>
      <c r="H25" s="25">
        <f>576.7+983.34</f>
        <v>1560.04</v>
      </c>
      <c r="I25" s="25"/>
      <c r="J25" s="25">
        <v>873.65</v>
      </c>
      <c r="K25" s="25">
        <v>5656.26</v>
      </c>
      <c r="L25" s="25">
        <f>64419.28+8589.24</f>
        <v>73008.52</v>
      </c>
      <c r="M25" s="25">
        <v>2262.5</v>
      </c>
      <c r="N25" s="25"/>
      <c r="O25" s="25"/>
      <c r="P25" s="25">
        <v>20362.5</v>
      </c>
      <c r="Q25" s="57">
        <f t="shared" si="1"/>
        <v>103723.47</v>
      </c>
      <c r="R25" s="58">
        <f t="shared" si="0"/>
        <v>219631.03999999998</v>
      </c>
      <c r="S25" s="59">
        <f t="shared" si="2"/>
        <v>115907.56999999998</v>
      </c>
      <c r="U25" s="62"/>
    </row>
    <row r="26" spans="1:21" ht="15.75">
      <c r="A26" s="55">
        <v>22</v>
      </c>
      <c r="B26" s="56" t="s">
        <v>26</v>
      </c>
      <c r="C26" s="25">
        <v>2936.64</v>
      </c>
      <c r="D26" s="25">
        <v>3878.62</v>
      </c>
      <c r="E26" s="25">
        <v>5998.96</v>
      </c>
      <c r="F26" s="25">
        <v>169.02</v>
      </c>
      <c r="G26" s="25">
        <v>302.14</v>
      </c>
      <c r="H26" s="26"/>
      <c r="I26" s="25"/>
      <c r="J26" s="25"/>
      <c r="K26" s="25"/>
      <c r="L26" s="25"/>
      <c r="M26" s="25"/>
      <c r="N26" s="25"/>
      <c r="O26" s="25"/>
      <c r="P26" s="25"/>
      <c r="Q26" s="57">
        <f t="shared" si="1"/>
        <v>0</v>
      </c>
      <c r="R26" s="58">
        <f t="shared" si="0"/>
        <v>13285.380000000001</v>
      </c>
      <c r="S26" s="59">
        <f t="shared" si="2"/>
        <v>13285.380000000001</v>
      </c>
      <c r="U26" s="62"/>
    </row>
    <row r="27" spans="1:21" ht="15.75">
      <c r="A27" s="55">
        <v>23</v>
      </c>
      <c r="B27" s="56" t="s">
        <v>27</v>
      </c>
      <c r="C27" s="25">
        <f>9118.25+5895.45</f>
        <v>15013.7</v>
      </c>
      <c r="D27" s="25">
        <f>9464.07+4563.68</f>
        <v>14027.75</v>
      </c>
      <c r="E27" s="25">
        <f>3928.26+3542.29</f>
        <v>7470.55</v>
      </c>
      <c r="F27" s="25">
        <f>278.97+1625.59</f>
        <v>1904.56</v>
      </c>
      <c r="G27" s="25">
        <f>1153.92+796.18</f>
        <v>1950.1</v>
      </c>
      <c r="H27" s="26"/>
      <c r="I27" s="25"/>
      <c r="J27" s="25"/>
      <c r="K27" s="25"/>
      <c r="L27" s="25">
        <v>3315</v>
      </c>
      <c r="M27" s="25"/>
      <c r="N27" s="25"/>
      <c r="O27" s="25"/>
      <c r="P27" s="25"/>
      <c r="Q27" s="57">
        <f t="shared" si="1"/>
        <v>3315</v>
      </c>
      <c r="R27" s="58">
        <f t="shared" si="0"/>
        <v>43681.659999999996</v>
      </c>
      <c r="S27" s="59">
        <f t="shared" si="2"/>
        <v>40366.659999999996</v>
      </c>
      <c r="U27" s="62"/>
    </row>
    <row r="28" spans="1:21" ht="15.75">
      <c r="A28" s="55">
        <v>24</v>
      </c>
      <c r="B28" s="56" t="s">
        <v>28</v>
      </c>
      <c r="C28" s="25">
        <f>4712.69+5290.38</f>
        <v>10003.07</v>
      </c>
      <c r="D28" s="25">
        <f>4310.17+3530.78</f>
        <v>7840.950000000001</v>
      </c>
      <c r="E28" s="25">
        <f>8879.75+2945.73</f>
        <v>11825.48</v>
      </c>
      <c r="F28" s="25">
        <f>88.21+83.15</f>
        <v>171.36</v>
      </c>
      <c r="G28" s="25">
        <f>393.9+355.38</f>
        <v>749.28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30590.14</v>
      </c>
      <c r="S28" s="59">
        <f t="shared" si="2"/>
        <v>30590.14</v>
      </c>
      <c r="U28" s="62"/>
    </row>
    <row r="29" spans="1:21" ht="15.75">
      <c r="A29" s="55">
        <v>25</v>
      </c>
      <c r="B29" s="56" t="s">
        <v>29</v>
      </c>
      <c r="C29" s="25">
        <f>18006.16+16806.75+17962.82</f>
        <v>52775.73</v>
      </c>
      <c r="D29" s="25">
        <f>26270.05+24837.41+16139.1</f>
        <v>67246.56</v>
      </c>
      <c r="E29" s="25">
        <f>11141.81+6863.96+6716.19</f>
        <v>24721.96</v>
      </c>
      <c r="F29" s="25">
        <f>1181.87+1005.5+344.95</f>
        <v>2532.3199999999997</v>
      </c>
      <c r="G29" s="25">
        <f>2519.85+2941.11+2077.08</f>
        <v>7538.04</v>
      </c>
      <c r="H29" s="26"/>
      <c r="I29" s="25"/>
      <c r="J29" s="25"/>
      <c r="K29" s="25"/>
      <c r="L29" s="25">
        <v>13575</v>
      </c>
      <c r="M29" s="25">
        <v>2262.5</v>
      </c>
      <c r="N29" s="25">
        <v>6787.5</v>
      </c>
      <c r="O29" s="25"/>
      <c r="P29" s="25">
        <v>30543.78</v>
      </c>
      <c r="Q29" s="57">
        <f t="shared" si="1"/>
        <v>53168.78</v>
      </c>
      <c r="R29" s="58">
        <f t="shared" si="0"/>
        <v>207983.39</v>
      </c>
      <c r="S29" s="59">
        <f t="shared" si="2"/>
        <v>154814.61000000002</v>
      </c>
      <c r="U29" s="62"/>
    </row>
    <row r="30" spans="1:21" ht="15.75">
      <c r="A30" s="55">
        <v>26</v>
      </c>
      <c r="B30" s="56" t="s">
        <v>30</v>
      </c>
      <c r="C30" s="25">
        <f>33952.27+4073.55</f>
        <v>38025.82</v>
      </c>
      <c r="D30" s="25">
        <f>37440.21+3672.26</f>
        <v>41112.47</v>
      </c>
      <c r="E30" s="25">
        <f>14416.44+708.45</f>
        <v>15124.890000000001</v>
      </c>
      <c r="F30" s="25">
        <f>2107.53+495.94</f>
        <v>2603.4700000000003</v>
      </c>
      <c r="G30" s="25">
        <f>3946.38+519.76</f>
        <v>4466.14</v>
      </c>
      <c r="H30" s="26">
        <v>327.8</v>
      </c>
      <c r="I30" s="25"/>
      <c r="J30" s="25"/>
      <c r="K30" s="25"/>
      <c r="L30" s="25">
        <v>2783.53</v>
      </c>
      <c r="M30" s="25"/>
      <c r="N30" s="25">
        <v>4525</v>
      </c>
      <c r="O30" s="25"/>
      <c r="P30" s="25"/>
      <c r="Q30" s="57">
        <f t="shared" si="1"/>
        <v>7636.33</v>
      </c>
      <c r="R30" s="58">
        <f t="shared" si="0"/>
        <v>108969.12000000001</v>
      </c>
      <c r="S30" s="59">
        <f t="shared" si="2"/>
        <v>101332.79000000001</v>
      </c>
      <c r="U30" s="62"/>
    </row>
    <row r="31" spans="1:21" ht="15.75">
      <c r="A31" s="55">
        <v>27</v>
      </c>
      <c r="B31" s="56" t="s">
        <v>40</v>
      </c>
      <c r="C31" s="25">
        <v>2993.61</v>
      </c>
      <c r="D31" s="25">
        <v>3879.87</v>
      </c>
      <c r="E31" s="25">
        <v>1940.91</v>
      </c>
      <c r="F31" s="25">
        <v>179.32</v>
      </c>
      <c r="G31" s="25">
        <v>276.3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9270.009999999998</v>
      </c>
      <c r="S31" s="59">
        <f t="shared" si="2"/>
        <v>9270.009999999998</v>
      </c>
      <c r="U31" s="62"/>
    </row>
    <row r="32" spans="1:21" ht="15.75">
      <c r="A32" s="55">
        <v>28</v>
      </c>
      <c r="B32" s="56" t="s">
        <v>41</v>
      </c>
      <c r="C32" s="25">
        <f>12728.33+1791.39+2578.99+4373.96+3462.62</f>
        <v>24935.289999999997</v>
      </c>
      <c r="D32" s="25">
        <f>12150.58+1209.18+2020.53+5011.68+3438.51</f>
        <v>23830.480000000003</v>
      </c>
      <c r="E32" s="25">
        <f>11515.59+884.16+3063.39+6426.51+2072.49</f>
        <v>23962.14</v>
      </c>
      <c r="F32" s="25">
        <f>462.24+27.72+139.26+275.47+41.84</f>
        <v>946.5300000000001</v>
      </c>
      <c r="G32" s="25">
        <f>990.51+206.08+391.13+460.44+678.67</f>
        <v>2726.83</v>
      </c>
      <c r="H32" s="26"/>
      <c r="I32" s="25"/>
      <c r="J32" s="25"/>
      <c r="K32" s="25">
        <v>3393.76</v>
      </c>
      <c r="L32" s="25"/>
      <c r="M32" s="25">
        <v>2783.53</v>
      </c>
      <c r="N32" s="25"/>
      <c r="O32" s="25"/>
      <c r="P32" s="25"/>
      <c r="Q32" s="57">
        <f t="shared" si="1"/>
        <v>6177.290000000001</v>
      </c>
      <c r="R32" s="58">
        <f t="shared" si="0"/>
        <v>82578.56</v>
      </c>
      <c r="S32" s="59">
        <f t="shared" si="2"/>
        <v>76401.26999999999</v>
      </c>
      <c r="U32" s="62"/>
    </row>
    <row r="33" spans="1:21" ht="15.75">
      <c r="A33" s="55">
        <v>29</v>
      </c>
      <c r="B33" s="56" t="s">
        <v>42</v>
      </c>
      <c r="C33" s="25">
        <v>16526.2</v>
      </c>
      <c r="D33" s="25">
        <v>22650.27</v>
      </c>
      <c r="E33" s="25">
        <v>9010.42</v>
      </c>
      <c r="F33" s="25">
        <v>613.76</v>
      </c>
      <c r="G33" s="25">
        <v>2454.63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51255.28</v>
      </c>
      <c r="S33" s="59">
        <f t="shared" si="2"/>
        <v>51255.28</v>
      </c>
      <c r="U33" s="62"/>
    </row>
    <row r="34" spans="1:21" ht="15.75">
      <c r="A34" s="55">
        <v>30</v>
      </c>
      <c r="B34" s="56" t="s">
        <v>44</v>
      </c>
      <c r="C34" s="25">
        <v>8021.64</v>
      </c>
      <c r="D34" s="25">
        <v>7016.5</v>
      </c>
      <c r="E34" s="25">
        <v>5053.15</v>
      </c>
      <c r="F34" s="25">
        <v>1099.95</v>
      </c>
      <c r="G34" s="25">
        <v>591.27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21782.510000000002</v>
      </c>
      <c r="S34" s="59">
        <f t="shared" si="2"/>
        <v>21782.510000000002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6102.66</v>
      </c>
      <c r="D36" s="25">
        <v>7062.23</v>
      </c>
      <c r="E36" s="25">
        <v>3647.54</v>
      </c>
      <c r="F36" s="25">
        <v>183.01</v>
      </c>
      <c r="G36" s="25">
        <v>655.47</v>
      </c>
      <c r="H36" s="25"/>
      <c r="I36" s="25"/>
      <c r="J36" s="25"/>
      <c r="K36" s="25"/>
      <c r="L36" s="25"/>
      <c r="M36" s="25"/>
      <c r="N36" s="25"/>
      <c r="O36" s="25"/>
      <c r="P36" s="25"/>
      <c r="Q36" s="57">
        <f t="shared" si="1"/>
        <v>0</v>
      </c>
      <c r="R36" s="58">
        <f t="shared" si="0"/>
        <v>17650.91</v>
      </c>
      <c r="S36" s="59">
        <f t="shared" si="2"/>
        <v>17650.91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3582.42</v>
      </c>
      <c r="D37" s="25">
        <v>3890.71</v>
      </c>
      <c r="E37" s="25">
        <v>1234.89</v>
      </c>
      <c r="F37" s="25">
        <v>252.91</v>
      </c>
      <c r="G37" s="25">
        <v>434.44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9395.37</v>
      </c>
      <c r="S37" s="59">
        <f t="shared" si="2"/>
        <v>9395.37</v>
      </c>
      <c r="U37" s="62"/>
    </row>
    <row r="38" spans="1:21" s="4" customFormat="1" ht="15.75">
      <c r="A38" s="55">
        <v>34</v>
      </c>
      <c r="B38" s="56" t="s">
        <v>61</v>
      </c>
      <c r="C38" s="25">
        <v>6033.36</v>
      </c>
      <c r="D38" s="25">
        <v>5721.56</v>
      </c>
      <c r="E38" s="25">
        <v>2223.57</v>
      </c>
      <c r="F38" s="25">
        <v>1749.33</v>
      </c>
      <c r="G38" s="25">
        <v>665.03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16392.85</v>
      </c>
      <c r="S38" s="59">
        <f t="shared" si="2"/>
        <v>16392.85</v>
      </c>
      <c r="U38" s="62"/>
    </row>
    <row r="39" spans="1:21" s="4" customFormat="1" ht="16.5" thickBot="1">
      <c r="A39" s="55">
        <v>35</v>
      </c>
      <c r="B39" s="56" t="s">
        <v>71</v>
      </c>
      <c r="C39" s="25">
        <v>6032.15</v>
      </c>
      <c r="D39" s="25">
        <v>3260.58</v>
      </c>
      <c r="E39" s="25">
        <v>1633.68</v>
      </c>
      <c r="F39" s="25">
        <v>1103.14</v>
      </c>
      <c r="G39" s="25">
        <v>507.63</v>
      </c>
      <c r="H39" s="25"/>
      <c r="I39" s="25"/>
      <c r="J39" s="25"/>
      <c r="K39" s="25"/>
      <c r="L39" s="25"/>
      <c r="M39" s="25"/>
      <c r="N39" s="25"/>
      <c r="O39" s="25"/>
      <c r="P39" s="25"/>
      <c r="Q39" s="57">
        <f t="shared" si="1"/>
        <v>0</v>
      </c>
      <c r="R39" s="58">
        <f t="shared" si="0"/>
        <v>12537.179999999998</v>
      </c>
      <c r="S39" s="59">
        <f t="shared" si="2"/>
        <v>12537.179999999998</v>
      </c>
      <c r="U39" s="62"/>
    </row>
    <row r="40" spans="1:56" s="49" customFormat="1" ht="26.25" customHeight="1" thickBot="1">
      <c r="A40" s="57"/>
      <c r="B40" s="57" t="s">
        <v>31</v>
      </c>
      <c r="C40" s="57">
        <f>SUM(C5:C39)</f>
        <v>800597.8100000002</v>
      </c>
      <c r="D40" s="57">
        <f>SUM(D5:D39)</f>
        <v>871756.24</v>
      </c>
      <c r="E40" s="57">
        <f aca="true" t="shared" si="3" ref="E40:P40">SUM(E5:E39)</f>
        <v>671646.7100000001</v>
      </c>
      <c r="F40" s="57">
        <f t="shared" si="3"/>
        <v>65541.40000000001</v>
      </c>
      <c r="G40" s="57">
        <f t="shared" si="3"/>
        <v>93981.41000000003</v>
      </c>
      <c r="H40" s="57">
        <f t="shared" si="3"/>
        <v>12510.169999999998</v>
      </c>
      <c r="I40" s="57">
        <f t="shared" si="3"/>
        <v>163.89</v>
      </c>
      <c r="J40" s="57">
        <f t="shared" si="3"/>
        <v>12210.39</v>
      </c>
      <c r="K40" s="57">
        <f t="shared" si="3"/>
        <v>18100.03</v>
      </c>
      <c r="L40" s="57">
        <f t="shared" si="3"/>
        <v>183968.72</v>
      </c>
      <c r="M40" s="57">
        <f t="shared" si="3"/>
        <v>10702.28</v>
      </c>
      <c r="N40" s="57">
        <f t="shared" si="3"/>
        <v>71308.56</v>
      </c>
      <c r="O40" s="57">
        <f t="shared" si="3"/>
        <v>1843.14</v>
      </c>
      <c r="P40" s="57">
        <f t="shared" si="3"/>
        <v>66030.95999999999</v>
      </c>
      <c r="Q40" s="57">
        <f>SUM(Q5:Q39)</f>
        <v>376838.14</v>
      </c>
      <c r="R40" s="58">
        <f>SUM(R5:R39)</f>
        <v>2880361.7100000004</v>
      </c>
      <c r="S40" s="59">
        <f>SUM(S5:S39)</f>
        <v>2503523.5699999994</v>
      </c>
      <c r="T40" s="4"/>
      <c r="U40" s="6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2:19" ht="15.75">
      <c r="B41" s="29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9" ht="15.75">
      <c r="B42" s="33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8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  <c r="R43" s="3"/>
    </row>
    <row r="44" spans="2:17" ht="15">
      <c r="B44" s="8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8"/>
      <c r="C46" s="1"/>
      <c r="D46" s="1"/>
      <c r="E46" s="1"/>
      <c r="F46" s="2"/>
      <c r="G46" s="2"/>
      <c r="H46" s="15"/>
      <c r="I46" s="1"/>
      <c r="J46" s="1"/>
      <c r="K46" s="1"/>
      <c r="L46" s="1"/>
      <c r="M46" s="1"/>
      <c r="N46" s="1"/>
      <c r="O46" s="1"/>
      <c r="P46" s="1"/>
      <c r="Q46" s="1"/>
    </row>
    <row r="47" spans="2:19" ht="12.75">
      <c r="B47" s="14"/>
      <c r="S47" s="63"/>
    </row>
    <row r="48" spans="2:12" ht="12.75">
      <c r="B48" s="9"/>
      <c r="F48" s="3"/>
      <c r="G48" s="3"/>
      <c r="L48" s="3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spans="2:19" ht="12.75">
      <c r="B59" s="10"/>
      <c r="C59" s="4"/>
      <c r="D59" s="4"/>
      <c r="E59" s="4"/>
      <c r="F59" s="4"/>
      <c r="G59" s="4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D41" sqref="D4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82" t="s">
        <v>88</v>
      </c>
      <c r="B3" s="82"/>
      <c r="C3" s="82"/>
      <c r="D3" s="82"/>
      <c r="E3" s="82"/>
      <c r="F3" s="82"/>
      <c r="G3" s="82"/>
    </row>
    <row r="4" spans="1:7" ht="14.25">
      <c r="A4" s="84"/>
      <c r="B4" s="84"/>
      <c r="C4" s="84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/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>
        <v>39438.46</v>
      </c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432.56</v>
      </c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39871.02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F36" sqref="F36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2" t="s">
        <v>89</v>
      </c>
      <c r="B3" s="82"/>
      <c r="C3" s="82"/>
      <c r="D3" s="82"/>
      <c r="E3" s="82"/>
      <c r="F3" s="82"/>
      <c r="G3" s="82"/>
      <c r="H3" s="82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70</v>
      </c>
    </row>
    <row r="6" spans="1:3" ht="15.75">
      <c r="A6" s="55">
        <v>1</v>
      </c>
      <c r="B6" s="56" t="s">
        <v>6</v>
      </c>
      <c r="C6" s="66"/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>
        <v>807.6</v>
      </c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/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>
        <v>440.5</v>
      </c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>
        <v>440.5</v>
      </c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1688.6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4"/>
  <sheetViews>
    <sheetView workbookViewId="0" topLeftCell="A1">
      <selection activeCell="I6" sqref="I6:I40"/>
    </sheetView>
  </sheetViews>
  <sheetFormatPr defaultColWidth="9.140625" defaultRowHeight="12.75"/>
  <cols>
    <col min="1" max="1" width="9.57421875" style="0" bestFit="1" customWidth="1"/>
    <col min="2" max="2" width="33.28125" style="0" customWidth="1"/>
    <col min="3" max="3" width="15.140625" style="0" customWidth="1"/>
    <col min="4" max="4" width="12.57421875" style="0" bestFit="1" customWidth="1"/>
    <col min="5" max="5" width="10.8515625" style="0" customWidth="1"/>
    <col min="6" max="7" width="11.57421875" style="0" customWidth="1"/>
    <col min="8" max="8" width="13.7109375" style="0" customWidth="1"/>
    <col min="9" max="9" width="15.00390625" style="0" customWidth="1"/>
  </cols>
  <sheetData>
    <row r="3" spans="1:12" ht="1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36"/>
      <c r="B4" s="36"/>
      <c r="C4" s="38"/>
      <c r="D4" s="1"/>
      <c r="E4" s="1"/>
      <c r="F4" s="1"/>
      <c r="G4" s="1"/>
      <c r="H4" s="1"/>
      <c r="I4" s="1"/>
      <c r="J4" s="1"/>
      <c r="K4" s="36"/>
      <c r="L4" s="36"/>
    </row>
    <row r="5" spans="1:12" ht="30">
      <c r="A5" s="70" t="s">
        <v>0</v>
      </c>
      <c r="B5" s="70" t="s">
        <v>1</v>
      </c>
      <c r="C5" s="70" t="s">
        <v>72</v>
      </c>
      <c r="D5" s="70" t="s">
        <v>73</v>
      </c>
      <c r="E5" s="70" t="s">
        <v>76</v>
      </c>
      <c r="F5" s="70" t="s">
        <v>77</v>
      </c>
      <c r="G5" s="70" t="s">
        <v>79</v>
      </c>
      <c r="H5" s="70" t="s">
        <v>74</v>
      </c>
      <c r="I5" s="71" t="s">
        <v>75</v>
      </c>
      <c r="J5" s="36"/>
      <c r="K5" s="36"/>
      <c r="L5" s="36"/>
    </row>
    <row r="6" spans="1:12" ht="15.75">
      <c r="A6" s="55">
        <v>1</v>
      </c>
      <c r="B6" s="56" t="s">
        <v>6</v>
      </c>
      <c r="C6" s="6">
        <v>1667.6</v>
      </c>
      <c r="D6" s="6">
        <v>3394.54</v>
      </c>
      <c r="E6" s="6">
        <v>918.76</v>
      </c>
      <c r="F6" s="6"/>
      <c r="G6" s="6"/>
      <c r="H6" s="6">
        <v>2234.33</v>
      </c>
      <c r="I6" s="68">
        <f>C6+D6+E6+F6+G6+H6</f>
        <v>8215.23</v>
      </c>
      <c r="J6" s="36"/>
      <c r="K6" s="36"/>
      <c r="L6" s="36"/>
    </row>
    <row r="7" spans="1:9" ht="15.75">
      <c r="A7" s="55">
        <v>2</v>
      </c>
      <c r="B7" s="56" t="s">
        <v>7</v>
      </c>
      <c r="C7" s="66"/>
      <c r="D7" s="66"/>
      <c r="E7" s="66"/>
      <c r="F7" s="66"/>
      <c r="G7" s="66"/>
      <c r="H7" s="66">
        <v>160.36</v>
      </c>
      <c r="I7" s="68">
        <f aca="true" t="shared" si="0" ref="I7:I41">C7+D7+E7+F7+G7+H7</f>
        <v>160.36</v>
      </c>
    </row>
    <row r="8" spans="1:9" ht="15.75">
      <c r="A8" s="55">
        <v>3</v>
      </c>
      <c r="B8" s="56" t="s">
        <v>8</v>
      </c>
      <c r="C8" s="66"/>
      <c r="D8" s="66">
        <v>1418.6</v>
      </c>
      <c r="E8" s="66"/>
      <c r="F8" s="66"/>
      <c r="G8" s="66"/>
      <c r="H8" s="66">
        <v>452.41</v>
      </c>
      <c r="I8" s="68">
        <f t="shared" si="0"/>
        <v>1871.01</v>
      </c>
    </row>
    <row r="9" spans="1:9" ht="15.75">
      <c r="A9" s="55">
        <v>4</v>
      </c>
      <c r="B9" s="56" t="s">
        <v>9</v>
      </c>
      <c r="C9" s="66"/>
      <c r="D9" s="66"/>
      <c r="E9" s="66"/>
      <c r="F9" s="66"/>
      <c r="G9" s="66"/>
      <c r="H9" s="66">
        <v>171.82</v>
      </c>
      <c r="I9" s="68">
        <f t="shared" si="0"/>
        <v>171.82</v>
      </c>
    </row>
    <row r="10" spans="1:9" ht="15.75">
      <c r="A10" s="55">
        <v>5</v>
      </c>
      <c r="B10" s="56" t="s">
        <v>10</v>
      </c>
      <c r="C10" s="66"/>
      <c r="D10" s="66">
        <v>2002.46</v>
      </c>
      <c r="E10" s="66"/>
      <c r="F10" s="66"/>
      <c r="G10" s="66">
        <v>2004.13</v>
      </c>
      <c r="H10" s="66">
        <v>1099.53</v>
      </c>
      <c r="I10" s="68">
        <f t="shared" si="0"/>
        <v>5106.12</v>
      </c>
    </row>
    <row r="11" spans="1:9" ht="15.75">
      <c r="A11" s="55">
        <v>6</v>
      </c>
      <c r="B11" s="56" t="s">
        <v>11</v>
      </c>
      <c r="C11" s="66">
        <v>1000.56</v>
      </c>
      <c r="D11" s="66">
        <v>2178.56</v>
      </c>
      <c r="E11" s="66"/>
      <c r="F11" s="66"/>
      <c r="G11" s="66"/>
      <c r="H11" s="66">
        <v>3037.32</v>
      </c>
      <c r="I11" s="68">
        <f t="shared" si="0"/>
        <v>6216.4400000000005</v>
      </c>
    </row>
    <row r="12" spans="1:9" ht="15.75">
      <c r="A12" s="55">
        <v>7</v>
      </c>
      <c r="B12" s="56" t="s">
        <v>59</v>
      </c>
      <c r="C12" s="66">
        <v>333.52</v>
      </c>
      <c r="D12" s="66"/>
      <c r="E12" s="66"/>
      <c r="F12" s="66"/>
      <c r="G12" s="66"/>
      <c r="H12" s="66">
        <v>2768.99</v>
      </c>
      <c r="I12" s="68">
        <f t="shared" si="0"/>
        <v>3102.5099999999998</v>
      </c>
    </row>
    <row r="13" spans="1:9" ht="15.75">
      <c r="A13" s="55">
        <v>8</v>
      </c>
      <c r="B13" s="56" t="s">
        <v>12</v>
      </c>
      <c r="C13" s="66"/>
      <c r="D13" s="66"/>
      <c r="E13" s="66">
        <v>1410.95</v>
      </c>
      <c r="F13" s="66"/>
      <c r="G13" s="66"/>
      <c r="H13" s="66">
        <v>150.73</v>
      </c>
      <c r="I13" s="68">
        <f t="shared" si="0"/>
        <v>1561.68</v>
      </c>
    </row>
    <row r="14" spans="1:9" ht="15.75">
      <c r="A14" s="55">
        <v>9</v>
      </c>
      <c r="B14" s="56" t="s">
        <v>13</v>
      </c>
      <c r="C14" s="66">
        <v>667.04</v>
      </c>
      <c r="D14" s="66">
        <v>1418.6</v>
      </c>
      <c r="E14" s="66"/>
      <c r="F14" s="66"/>
      <c r="G14" s="66"/>
      <c r="H14" s="66">
        <v>1042.39</v>
      </c>
      <c r="I14" s="68">
        <f t="shared" si="0"/>
        <v>3128.0299999999997</v>
      </c>
    </row>
    <row r="15" spans="1:9" ht="15.75">
      <c r="A15" s="55">
        <v>10</v>
      </c>
      <c r="B15" s="56" t="s">
        <v>14</v>
      </c>
      <c r="C15" s="66">
        <v>1000.56</v>
      </c>
      <c r="D15" s="66">
        <v>1355.88</v>
      </c>
      <c r="E15" s="66"/>
      <c r="F15" s="66"/>
      <c r="G15" s="66"/>
      <c r="H15" s="66">
        <v>5098.06</v>
      </c>
      <c r="I15" s="68">
        <f t="shared" si="0"/>
        <v>7454.5</v>
      </c>
    </row>
    <row r="16" spans="1:9" ht="15.75">
      <c r="A16" s="55">
        <v>11</v>
      </c>
      <c r="B16" s="56" t="s">
        <v>15</v>
      </c>
      <c r="C16" s="66">
        <v>333.52</v>
      </c>
      <c r="D16" s="66"/>
      <c r="E16" s="66"/>
      <c r="F16" s="66"/>
      <c r="G16" s="66"/>
      <c r="H16" s="66">
        <v>1870.77</v>
      </c>
      <c r="I16" s="68">
        <f t="shared" si="0"/>
        <v>2204.29</v>
      </c>
    </row>
    <row r="17" spans="1:9" ht="15.75">
      <c r="A17" s="55">
        <v>12</v>
      </c>
      <c r="B17" s="56" t="s">
        <v>16</v>
      </c>
      <c r="C17" s="66">
        <v>333.52</v>
      </c>
      <c r="D17" s="66"/>
      <c r="E17" s="66"/>
      <c r="F17" s="66"/>
      <c r="G17" s="66"/>
      <c r="H17" s="66">
        <v>532.37</v>
      </c>
      <c r="I17" s="68">
        <f t="shared" si="0"/>
        <v>865.89</v>
      </c>
    </row>
    <row r="18" spans="1:9" ht="15.75">
      <c r="A18" s="55">
        <v>13</v>
      </c>
      <c r="B18" s="56" t="s">
        <v>17</v>
      </c>
      <c r="C18" s="66">
        <v>993.82</v>
      </c>
      <c r="D18" s="66">
        <v>1402.06</v>
      </c>
      <c r="E18" s="66"/>
      <c r="F18" s="66"/>
      <c r="G18" s="66"/>
      <c r="H18" s="66">
        <v>3049.73</v>
      </c>
      <c r="I18" s="68">
        <f t="shared" si="0"/>
        <v>5445.610000000001</v>
      </c>
    </row>
    <row r="19" spans="1:9" ht="15.75">
      <c r="A19" s="55">
        <v>14</v>
      </c>
      <c r="B19" s="56" t="s">
        <v>18</v>
      </c>
      <c r="C19" s="66"/>
      <c r="D19" s="66">
        <v>646.58</v>
      </c>
      <c r="E19" s="66"/>
      <c r="F19" s="66"/>
      <c r="G19" s="66"/>
      <c r="H19" s="66">
        <v>160.37</v>
      </c>
      <c r="I19" s="68">
        <f t="shared" si="0"/>
        <v>806.95</v>
      </c>
    </row>
    <row r="20" spans="1:9" ht="15.75">
      <c r="A20" s="55">
        <v>15</v>
      </c>
      <c r="B20" s="56" t="s">
        <v>19</v>
      </c>
      <c r="C20" s="66"/>
      <c r="D20" s="66"/>
      <c r="E20" s="66"/>
      <c r="F20" s="66"/>
      <c r="G20" s="66"/>
      <c r="H20" s="66"/>
      <c r="I20" s="68">
        <f t="shared" si="0"/>
        <v>0</v>
      </c>
    </row>
    <row r="21" spans="1:9" ht="15.75">
      <c r="A21" s="55">
        <v>16</v>
      </c>
      <c r="B21" s="56" t="s">
        <v>20</v>
      </c>
      <c r="C21" s="66">
        <v>333.52</v>
      </c>
      <c r="D21" s="66"/>
      <c r="E21" s="66"/>
      <c r="F21" s="66"/>
      <c r="G21" s="66"/>
      <c r="H21" s="66"/>
      <c r="I21" s="68">
        <f t="shared" si="0"/>
        <v>333.52</v>
      </c>
    </row>
    <row r="22" spans="1:9" ht="15.75">
      <c r="A22" s="55">
        <v>17</v>
      </c>
      <c r="B22" s="56" t="s">
        <v>21</v>
      </c>
      <c r="C22" s="66">
        <v>667.04</v>
      </c>
      <c r="D22" s="66">
        <v>646.58</v>
      </c>
      <c r="E22" s="66"/>
      <c r="F22" s="66"/>
      <c r="G22" s="66"/>
      <c r="H22" s="66">
        <v>602.73</v>
      </c>
      <c r="I22" s="68">
        <f t="shared" si="0"/>
        <v>1916.35</v>
      </c>
    </row>
    <row r="23" spans="1:9" ht="15.75">
      <c r="A23" s="55">
        <v>18</v>
      </c>
      <c r="B23" s="56" t="s">
        <v>22</v>
      </c>
      <c r="C23" s="66">
        <v>333.51</v>
      </c>
      <c r="D23" s="66">
        <v>646.57</v>
      </c>
      <c r="E23" s="66">
        <v>492.19</v>
      </c>
      <c r="F23" s="66"/>
      <c r="G23" s="66">
        <v>2004.13</v>
      </c>
      <c r="H23" s="66">
        <v>3303.25</v>
      </c>
      <c r="I23" s="68">
        <f t="shared" si="0"/>
        <v>6779.65</v>
      </c>
    </row>
    <row r="24" spans="1:9" ht="15.75">
      <c r="A24" s="55">
        <v>19</v>
      </c>
      <c r="B24" s="56" t="s">
        <v>23</v>
      </c>
      <c r="I24" s="68">
        <f t="shared" si="0"/>
        <v>0</v>
      </c>
    </row>
    <row r="25" spans="1:9" ht="15.75">
      <c r="A25" s="55">
        <v>20</v>
      </c>
      <c r="B25" s="56" t="s">
        <v>24</v>
      </c>
      <c r="C25" s="66"/>
      <c r="D25" s="66"/>
      <c r="E25" s="66"/>
      <c r="F25" s="66"/>
      <c r="G25" s="66"/>
      <c r="H25" s="66">
        <v>816.92</v>
      </c>
      <c r="I25" s="68">
        <f t="shared" si="0"/>
        <v>816.92</v>
      </c>
    </row>
    <row r="26" spans="1:9" ht="15.75">
      <c r="A26" s="55">
        <v>21</v>
      </c>
      <c r="B26" s="56" t="s">
        <v>25</v>
      </c>
      <c r="C26" s="66">
        <v>1000.53</v>
      </c>
      <c r="D26" s="66"/>
      <c r="E26" s="66"/>
      <c r="F26" s="66"/>
      <c r="G26" s="66"/>
      <c r="H26" s="66">
        <v>2694.27</v>
      </c>
      <c r="I26" s="68">
        <f t="shared" si="0"/>
        <v>3694.8</v>
      </c>
    </row>
    <row r="27" spans="1:9" ht="15.75">
      <c r="A27" s="55">
        <v>22</v>
      </c>
      <c r="B27" s="56" t="s">
        <v>26</v>
      </c>
      <c r="C27" s="66"/>
      <c r="D27" s="66">
        <v>646.57</v>
      </c>
      <c r="E27" s="66"/>
      <c r="F27" s="66"/>
      <c r="G27" s="66"/>
      <c r="H27" s="66">
        <v>423.91</v>
      </c>
      <c r="I27" s="68">
        <f t="shared" si="0"/>
        <v>1070.48</v>
      </c>
    </row>
    <row r="28" spans="1:9" ht="15.75">
      <c r="A28" s="55">
        <v>23</v>
      </c>
      <c r="B28" s="56" t="s">
        <v>27</v>
      </c>
      <c r="C28" s="66">
        <v>326.78</v>
      </c>
      <c r="D28" s="66"/>
      <c r="E28" s="66"/>
      <c r="F28" s="66"/>
      <c r="G28" s="66"/>
      <c r="H28" s="66"/>
      <c r="I28" s="68">
        <f t="shared" si="0"/>
        <v>326.78</v>
      </c>
    </row>
    <row r="29" spans="1:9" ht="15.75">
      <c r="A29" s="55">
        <v>24</v>
      </c>
      <c r="B29" s="56" t="s">
        <v>28</v>
      </c>
      <c r="C29" s="66"/>
      <c r="D29" s="66"/>
      <c r="E29" s="66"/>
      <c r="F29" s="66"/>
      <c r="G29" s="66"/>
      <c r="H29" s="66">
        <v>452.4</v>
      </c>
      <c r="I29" s="68">
        <f t="shared" si="0"/>
        <v>452.4</v>
      </c>
    </row>
    <row r="30" spans="1:9" ht="15.75">
      <c r="A30" s="55">
        <v>25</v>
      </c>
      <c r="B30" s="56" t="s">
        <v>29</v>
      </c>
      <c r="C30" s="66">
        <v>1334.08</v>
      </c>
      <c r="D30" s="66">
        <v>1026.56</v>
      </c>
      <c r="E30" s="66"/>
      <c r="F30" s="66">
        <v>18531.72</v>
      </c>
      <c r="G30" s="66"/>
      <c r="H30" s="66">
        <v>3207.72</v>
      </c>
      <c r="I30" s="68">
        <f t="shared" si="0"/>
        <v>24100.08</v>
      </c>
    </row>
    <row r="31" spans="1:9" ht="15.75">
      <c r="A31" s="55">
        <v>26</v>
      </c>
      <c r="B31" s="56" t="s">
        <v>30</v>
      </c>
      <c r="C31" s="66">
        <v>333.52</v>
      </c>
      <c r="D31" s="66">
        <v>1293.16</v>
      </c>
      <c r="E31" s="66"/>
      <c r="F31" s="66"/>
      <c r="G31" s="66"/>
      <c r="H31" s="66">
        <v>2248.89</v>
      </c>
      <c r="I31" s="68">
        <f t="shared" si="0"/>
        <v>3875.5699999999997</v>
      </c>
    </row>
    <row r="32" spans="1:9" ht="15.75">
      <c r="A32" s="55">
        <v>27</v>
      </c>
      <c r="B32" s="56" t="s">
        <v>40</v>
      </c>
      <c r="C32" s="66">
        <v>333.52</v>
      </c>
      <c r="D32" s="66"/>
      <c r="E32" s="66"/>
      <c r="F32" s="66"/>
      <c r="G32" s="66"/>
      <c r="H32" s="66"/>
      <c r="I32" s="68">
        <f t="shared" si="0"/>
        <v>333.52</v>
      </c>
    </row>
    <row r="33" spans="1:9" ht="15.75">
      <c r="A33" s="55">
        <v>28</v>
      </c>
      <c r="B33" s="56" t="s">
        <v>41</v>
      </c>
      <c r="C33" s="66">
        <v>1000.56</v>
      </c>
      <c r="D33" s="66">
        <v>354.65</v>
      </c>
      <c r="E33" s="66"/>
      <c r="F33" s="66"/>
      <c r="G33" s="66"/>
      <c r="H33" s="66">
        <v>782.56</v>
      </c>
      <c r="I33" s="68">
        <f t="shared" si="0"/>
        <v>2137.77</v>
      </c>
    </row>
    <row r="34" spans="1:9" ht="15.75">
      <c r="A34" s="55">
        <v>29</v>
      </c>
      <c r="B34" s="56" t="s">
        <v>42</v>
      </c>
      <c r="C34" s="66">
        <v>667.04</v>
      </c>
      <c r="D34" s="66"/>
      <c r="E34" s="66"/>
      <c r="F34" s="66"/>
      <c r="G34" s="66"/>
      <c r="H34" s="66">
        <v>801.85</v>
      </c>
      <c r="I34" s="68">
        <f t="shared" si="0"/>
        <v>1468.8899999999999</v>
      </c>
    </row>
    <row r="35" spans="1:9" ht="15.75">
      <c r="A35" s="55">
        <v>30</v>
      </c>
      <c r="B35" s="56" t="s">
        <v>44</v>
      </c>
      <c r="C35" s="66">
        <v>333.52</v>
      </c>
      <c r="D35" s="66"/>
      <c r="E35" s="66"/>
      <c r="F35" s="66"/>
      <c r="G35" s="66"/>
      <c r="H35" s="66"/>
      <c r="I35" s="68">
        <f t="shared" si="0"/>
        <v>333.52</v>
      </c>
    </row>
    <row r="36" spans="1:9" ht="15.75">
      <c r="A36" s="55">
        <v>31</v>
      </c>
      <c r="B36" s="56" t="s">
        <v>45</v>
      </c>
      <c r="C36" s="66"/>
      <c r="D36" s="66"/>
      <c r="E36" s="66"/>
      <c r="F36" s="66"/>
      <c r="G36" s="66"/>
      <c r="H36" s="66"/>
      <c r="I36" s="68">
        <f t="shared" si="0"/>
        <v>0</v>
      </c>
    </row>
    <row r="37" spans="1:9" ht="15.75">
      <c r="A37" s="55">
        <v>32</v>
      </c>
      <c r="B37" s="56" t="s">
        <v>47</v>
      </c>
      <c r="C37" s="66">
        <v>333.52</v>
      </c>
      <c r="D37" s="66"/>
      <c r="E37" s="66"/>
      <c r="F37" s="66"/>
      <c r="G37" s="66"/>
      <c r="H37" s="66"/>
      <c r="I37" s="68">
        <f t="shared" si="0"/>
        <v>333.52</v>
      </c>
    </row>
    <row r="38" spans="1:9" ht="15.75">
      <c r="A38" s="55">
        <v>33</v>
      </c>
      <c r="B38" s="56" t="s">
        <v>60</v>
      </c>
      <c r="C38" s="66">
        <v>667.04</v>
      </c>
      <c r="D38" s="66"/>
      <c r="E38" s="66"/>
      <c r="F38" s="66"/>
      <c r="G38" s="66"/>
      <c r="H38" s="66"/>
      <c r="I38" s="68">
        <f t="shared" si="0"/>
        <v>667.04</v>
      </c>
    </row>
    <row r="39" spans="1:9" ht="15.75">
      <c r="A39" s="55">
        <v>34</v>
      </c>
      <c r="B39" s="56" t="s">
        <v>61</v>
      </c>
      <c r="C39" s="66">
        <v>667.04</v>
      </c>
      <c r="D39" s="66"/>
      <c r="E39" s="66"/>
      <c r="F39" s="66"/>
      <c r="G39" s="66"/>
      <c r="H39" s="66">
        <v>482.92</v>
      </c>
      <c r="I39" s="68">
        <f t="shared" si="0"/>
        <v>1149.96</v>
      </c>
    </row>
    <row r="40" spans="1:9" ht="15.75">
      <c r="A40" s="55">
        <v>35</v>
      </c>
      <c r="B40" s="56" t="s">
        <v>71</v>
      </c>
      <c r="C40" s="66">
        <v>333.52</v>
      </c>
      <c r="D40" s="66"/>
      <c r="E40" s="66"/>
      <c r="F40" s="66"/>
      <c r="G40" s="66"/>
      <c r="H40" s="66"/>
      <c r="I40" s="68">
        <f t="shared" si="0"/>
        <v>333.52</v>
      </c>
    </row>
    <row r="41" spans="1:9" ht="15.75">
      <c r="A41" s="57"/>
      <c r="B41" s="57" t="s">
        <v>31</v>
      </c>
      <c r="C41" s="67">
        <f aca="true" t="shared" si="1" ref="C41:H41">SUM(C6:C40)</f>
        <v>14994.880000000005</v>
      </c>
      <c r="D41" s="67">
        <f t="shared" si="1"/>
        <v>18431.37</v>
      </c>
      <c r="E41" s="67">
        <f t="shared" si="1"/>
        <v>2821.9</v>
      </c>
      <c r="F41" s="67">
        <f t="shared" si="1"/>
        <v>18531.72</v>
      </c>
      <c r="G41" s="67">
        <f t="shared" si="1"/>
        <v>4008.26</v>
      </c>
      <c r="H41" s="67">
        <f t="shared" si="1"/>
        <v>37646.59999999999</v>
      </c>
      <c r="I41" s="68">
        <f t="shared" si="0"/>
        <v>96434.73</v>
      </c>
    </row>
    <row r="42" ht="12.75">
      <c r="C42" s="77"/>
    </row>
    <row r="43" ht="12.75">
      <c r="C43" s="3"/>
    </row>
    <row r="44" ht="12.75">
      <c r="H44" s="3"/>
    </row>
  </sheetData>
  <printOptions/>
  <pageMargins left="0.75" right="0.75" top="1" bottom="1" header="0.5" footer="0.5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3">
      <selection activeCell="C48" sqref="C48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91</v>
      </c>
      <c r="B3" s="61"/>
      <c r="C3" s="61"/>
      <c r="D3" s="61"/>
      <c r="E3" s="61"/>
      <c r="F3" s="61"/>
    </row>
    <row r="4" spans="1:6" ht="14.25">
      <c r="A4" s="84"/>
      <c r="B4" s="84"/>
      <c r="C4" s="84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6"/>
      <c r="D6" s="66"/>
    </row>
    <row r="7" spans="1:4" ht="15.75">
      <c r="A7" s="55">
        <v>2</v>
      </c>
      <c r="B7" s="56" t="s">
        <v>7</v>
      </c>
      <c r="C7" s="66"/>
      <c r="D7" s="66"/>
    </row>
    <row r="8" spans="1:4" ht="15.75">
      <c r="A8" s="55">
        <v>3</v>
      </c>
      <c r="B8" s="56" t="s">
        <v>8</v>
      </c>
      <c r="C8" s="66"/>
      <c r="D8" s="66"/>
    </row>
    <row r="9" spans="1:4" ht="15.75">
      <c r="A9" s="55">
        <v>4</v>
      </c>
      <c r="B9" s="56" t="s">
        <v>9</v>
      </c>
      <c r="C9" s="66"/>
      <c r="D9" s="66"/>
    </row>
    <row r="10" spans="1:4" ht="15.75">
      <c r="A10" s="55">
        <v>5</v>
      </c>
      <c r="B10" s="56" t="s">
        <v>10</v>
      </c>
      <c r="C10" s="66"/>
      <c r="D10" s="66"/>
    </row>
    <row r="11" spans="1:4" ht="15.75">
      <c r="A11" s="55">
        <v>6</v>
      </c>
      <c r="B11" s="56" t="s">
        <v>11</v>
      </c>
      <c r="C11" s="66"/>
      <c r="D11" s="66"/>
    </row>
    <row r="12" spans="1:4" ht="15.75">
      <c r="A12" s="55">
        <v>7</v>
      </c>
      <c r="B12" s="56" t="s">
        <v>59</v>
      </c>
      <c r="C12" s="66">
        <v>45.54</v>
      </c>
      <c r="D12" s="66"/>
    </row>
    <row r="13" spans="1:4" ht="15.75">
      <c r="A13" s="55">
        <v>8</v>
      </c>
      <c r="B13" s="56" t="s">
        <v>12</v>
      </c>
      <c r="C13" s="66"/>
      <c r="D13" s="66"/>
    </row>
    <row r="14" spans="1:4" ht="15.75">
      <c r="A14" s="55">
        <v>9</v>
      </c>
      <c r="B14" s="56" t="s">
        <v>13</v>
      </c>
      <c r="C14" s="66"/>
      <c r="D14" s="66"/>
    </row>
    <row r="15" spans="1:4" ht="15.75">
      <c r="A15" s="55">
        <v>10</v>
      </c>
      <c r="B15" s="56" t="s">
        <v>14</v>
      </c>
      <c r="C15" s="66"/>
      <c r="D15" s="66"/>
    </row>
    <row r="16" spans="1:4" ht="15.75">
      <c r="A16" s="55">
        <v>11</v>
      </c>
      <c r="B16" s="56" t="s">
        <v>15</v>
      </c>
      <c r="C16" s="66"/>
      <c r="D16" s="66"/>
    </row>
    <row r="17" spans="1:4" ht="15.75">
      <c r="A17" s="55">
        <v>12</v>
      </c>
      <c r="B17" s="56" t="s">
        <v>16</v>
      </c>
      <c r="C17" s="66"/>
      <c r="D17" s="66"/>
    </row>
    <row r="18" spans="1:4" ht="15.75">
      <c r="A18" s="55">
        <v>13</v>
      </c>
      <c r="B18" s="56" t="s">
        <v>17</v>
      </c>
      <c r="C18" s="66">
        <v>3431.32</v>
      </c>
      <c r="D18" s="66"/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/>
      <c r="D21" s="66"/>
    </row>
    <row r="22" spans="1:4" ht="15.75">
      <c r="A22" s="55">
        <v>17</v>
      </c>
      <c r="B22" s="56" t="s">
        <v>21</v>
      </c>
      <c r="C22" s="66"/>
      <c r="D22" s="66"/>
    </row>
    <row r="23" spans="1:4" ht="15.75">
      <c r="A23" s="55">
        <v>18</v>
      </c>
      <c r="B23" s="56" t="s">
        <v>22</v>
      </c>
      <c r="C23" s="66"/>
      <c r="D23" s="66">
        <v>13200.52</v>
      </c>
    </row>
    <row r="24" spans="1:4" ht="15.75">
      <c r="A24" s="55">
        <v>19</v>
      </c>
      <c r="B24" s="56" t="s">
        <v>23</v>
      </c>
      <c r="C24" s="66"/>
      <c r="D24" s="66"/>
    </row>
    <row r="25" spans="1:4" ht="15.75">
      <c r="A25" s="55">
        <v>20</v>
      </c>
      <c r="B25" s="56" t="s">
        <v>24</v>
      </c>
      <c r="C25" s="66"/>
      <c r="D25" s="66"/>
    </row>
    <row r="26" spans="1:4" ht="15.75">
      <c r="A26" s="55">
        <v>21</v>
      </c>
      <c r="B26" s="56" t="s">
        <v>25</v>
      </c>
      <c r="C26" s="66">
        <v>318.78</v>
      </c>
      <c r="D26" s="66"/>
    </row>
    <row r="27" spans="1:4" ht="15.75">
      <c r="A27" s="55">
        <v>22</v>
      </c>
      <c r="B27" s="56" t="s">
        <v>26</v>
      </c>
      <c r="C27" s="66"/>
      <c r="D27" s="66"/>
    </row>
    <row r="28" spans="1:4" ht="15.75">
      <c r="A28" s="55">
        <v>23</v>
      </c>
      <c r="B28" s="56" t="s">
        <v>27</v>
      </c>
      <c r="C28" s="66"/>
      <c r="D28" s="66"/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/>
      <c r="D30" s="66"/>
    </row>
    <row r="31" spans="1:4" ht="15.75">
      <c r="A31" s="55">
        <v>26</v>
      </c>
      <c r="B31" s="56" t="s">
        <v>30</v>
      </c>
      <c r="C31" s="66"/>
      <c r="D31" s="66"/>
    </row>
    <row r="32" spans="1:4" ht="15.75">
      <c r="A32" s="55">
        <v>27</v>
      </c>
      <c r="B32" s="56" t="s">
        <v>40</v>
      </c>
      <c r="C32" s="66"/>
      <c r="D32" s="66"/>
    </row>
    <row r="33" spans="1:4" ht="15.75">
      <c r="A33" s="55">
        <v>28</v>
      </c>
      <c r="B33" s="56" t="s">
        <v>41</v>
      </c>
      <c r="C33" s="66"/>
      <c r="D33" s="66">
        <v>6569.9</v>
      </c>
    </row>
    <row r="34" spans="1:4" ht="15.75">
      <c r="A34" s="55">
        <v>29</v>
      </c>
      <c r="B34" s="56" t="s">
        <v>42</v>
      </c>
      <c r="C34" s="66"/>
      <c r="D34" s="66"/>
    </row>
    <row r="35" spans="1:4" ht="15.75">
      <c r="A35" s="55">
        <v>30</v>
      </c>
      <c r="B35" s="56" t="s">
        <v>44</v>
      </c>
      <c r="C35" s="66"/>
      <c r="D35" s="66"/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/>
      <c r="D38" s="66"/>
    </row>
    <row r="39" spans="1:4" ht="15.75">
      <c r="A39" s="55">
        <v>34</v>
      </c>
      <c r="B39" s="56" t="s">
        <v>61</v>
      </c>
      <c r="C39" s="66"/>
      <c r="D39" s="66"/>
    </row>
    <row r="40" spans="1:4" ht="15.75">
      <c r="A40" s="55">
        <v>35</v>
      </c>
      <c r="B40" s="56" t="s">
        <v>71</v>
      </c>
      <c r="C40" s="66"/>
      <c r="D40" s="66"/>
    </row>
    <row r="41" spans="1:4" ht="15.75">
      <c r="A41" s="57"/>
      <c r="B41" s="57" t="s">
        <v>31</v>
      </c>
      <c r="C41" s="67">
        <f>SUM(C6:C40)</f>
        <v>3795.6400000000003</v>
      </c>
      <c r="D41" s="67">
        <f>SUM(D6:D40)</f>
        <v>19770.42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workbookViewId="0" topLeftCell="A8">
      <selection activeCell="D7" sqref="D7:D41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8" t="s">
        <v>80</v>
      </c>
      <c r="B3" s="78"/>
      <c r="C3" s="78"/>
      <c r="D3" s="78"/>
      <c r="E3" s="78"/>
      <c r="F3" s="78"/>
      <c r="G3" s="79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75" t="s">
        <v>0</v>
      </c>
      <c r="B6" s="76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73">
        <v>1</v>
      </c>
      <c r="B7" s="74" t="s">
        <v>6</v>
      </c>
      <c r="C7" s="44">
        <v>7793.71</v>
      </c>
      <c r="D7" s="44">
        <v>6235.23</v>
      </c>
      <c r="E7" s="45">
        <f>C7+D7</f>
        <v>14028.939999999999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2752.78</v>
      </c>
      <c r="D8" s="6">
        <v>2202.29</v>
      </c>
      <c r="E8" s="45">
        <f aca="true" t="shared" si="0" ref="E8:E42">C8+D8</f>
        <v>4955.07</v>
      </c>
      <c r="F8" s="36"/>
      <c r="H8" s="3"/>
    </row>
    <row r="9" spans="1:8" ht="15.75">
      <c r="A9" s="55">
        <v>3</v>
      </c>
      <c r="B9" s="56" t="s">
        <v>8</v>
      </c>
      <c r="C9" s="1">
        <v>2946.46</v>
      </c>
      <c r="D9" s="6">
        <v>2357.27</v>
      </c>
      <c r="E9" s="45">
        <f t="shared" si="0"/>
        <v>5303.73</v>
      </c>
      <c r="F9" s="36"/>
      <c r="H9" s="3"/>
    </row>
    <row r="10" spans="1:8" ht="15.75">
      <c r="A10" s="55">
        <v>4</v>
      </c>
      <c r="B10" s="56" t="s">
        <v>9</v>
      </c>
      <c r="C10" s="6">
        <v>4815.37</v>
      </c>
      <c r="D10" s="6">
        <v>3852.31</v>
      </c>
      <c r="E10" s="45">
        <f t="shared" si="0"/>
        <v>8667.68</v>
      </c>
      <c r="F10" s="36"/>
      <c r="H10" s="3"/>
    </row>
    <row r="11" spans="1:8" ht="15.75">
      <c r="A11" s="55">
        <v>5</v>
      </c>
      <c r="B11" s="56" t="s">
        <v>10</v>
      </c>
      <c r="C11" s="6">
        <v>2040.77</v>
      </c>
      <c r="D11" s="6">
        <v>1632.63</v>
      </c>
      <c r="E11" s="45">
        <f t="shared" si="0"/>
        <v>3673.4</v>
      </c>
      <c r="F11" s="36"/>
      <c r="H11" s="3"/>
    </row>
    <row r="12" spans="1:8" ht="15.75">
      <c r="A12" s="55">
        <v>6</v>
      </c>
      <c r="B12" s="56" t="s">
        <v>11</v>
      </c>
      <c r="C12" s="6">
        <v>5546.8</v>
      </c>
      <c r="D12" s="6">
        <v>4437.58</v>
      </c>
      <c r="E12" s="45">
        <f t="shared" si="0"/>
        <v>9984.380000000001</v>
      </c>
      <c r="F12" s="36"/>
      <c r="H12" s="3"/>
    </row>
    <row r="13" spans="1:8" ht="15.75">
      <c r="A13" s="55">
        <v>7</v>
      </c>
      <c r="B13" s="56" t="s">
        <v>59</v>
      </c>
      <c r="C13" s="6">
        <v>8145.13</v>
      </c>
      <c r="D13" s="6">
        <v>6516.91</v>
      </c>
      <c r="E13" s="45">
        <f t="shared" si="0"/>
        <v>14662.04</v>
      </c>
      <c r="F13" s="36"/>
      <c r="H13" s="3"/>
    </row>
    <row r="14" spans="1:8" ht="15.75">
      <c r="A14" s="55">
        <v>8</v>
      </c>
      <c r="B14" s="56" t="s">
        <v>12</v>
      </c>
      <c r="C14" s="6">
        <v>478.74</v>
      </c>
      <c r="D14" s="6">
        <v>383.04</v>
      </c>
      <c r="E14" s="45">
        <f t="shared" si="0"/>
        <v>861.78</v>
      </c>
      <c r="F14" s="36"/>
      <c r="H14" s="3"/>
    </row>
    <row r="15" spans="1:8" ht="15.75">
      <c r="A15" s="55">
        <v>9</v>
      </c>
      <c r="B15" s="56" t="s">
        <v>13</v>
      </c>
      <c r="C15" s="6">
        <v>3258.33</v>
      </c>
      <c r="D15" s="6">
        <v>2606.78</v>
      </c>
      <c r="E15" s="45">
        <f t="shared" si="0"/>
        <v>5865.110000000001</v>
      </c>
      <c r="F15" s="36"/>
      <c r="H15" s="3"/>
    </row>
    <row r="16" spans="1:8" ht="15.75">
      <c r="A16" s="55">
        <v>10</v>
      </c>
      <c r="B16" s="56" t="s">
        <v>14</v>
      </c>
      <c r="C16" s="6">
        <v>10723.69</v>
      </c>
      <c r="D16" s="6">
        <v>8579.49</v>
      </c>
      <c r="E16" s="45">
        <f t="shared" si="0"/>
        <v>19303.18</v>
      </c>
      <c r="F16" s="36"/>
      <c r="H16" s="3"/>
    </row>
    <row r="17" spans="1:8" ht="15.75">
      <c r="A17" s="55">
        <v>11</v>
      </c>
      <c r="B17" s="56" t="s">
        <v>15</v>
      </c>
      <c r="C17" s="6">
        <v>5053.12</v>
      </c>
      <c r="D17" s="6">
        <v>4042.52</v>
      </c>
      <c r="E17" s="45">
        <f t="shared" si="0"/>
        <v>9095.64</v>
      </c>
      <c r="F17" s="36"/>
      <c r="H17" s="3"/>
    </row>
    <row r="18" spans="1:8" ht="15.75">
      <c r="A18" s="55">
        <v>12</v>
      </c>
      <c r="B18" s="56" t="s">
        <v>16</v>
      </c>
      <c r="C18" s="6">
        <v>473.75</v>
      </c>
      <c r="D18" s="6">
        <v>379.06</v>
      </c>
      <c r="E18" s="45">
        <f t="shared" si="0"/>
        <v>852.81</v>
      </c>
      <c r="F18" s="36"/>
      <c r="H18" s="3"/>
    </row>
    <row r="19" spans="1:8" ht="15.75">
      <c r="A19" s="55">
        <v>13</v>
      </c>
      <c r="B19" s="56" t="s">
        <v>17</v>
      </c>
      <c r="C19" s="6">
        <v>4247.96</v>
      </c>
      <c r="D19" s="6">
        <v>3398.79</v>
      </c>
      <c r="E19" s="45">
        <f t="shared" si="0"/>
        <v>7646.75</v>
      </c>
      <c r="F19" s="36"/>
      <c r="H19" s="3"/>
    </row>
    <row r="20" spans="1:8" ht="15.75">
      <c r="A20" s="55">
        <v>14</v>
      </c>
      <c r="B20" s="56" t="s">
        <v>18</v>
      </c>
      <c r="C20" s="6">
        <v>4088.92</v>
      </c>
      <c r="D20" s="6">
        <v>3271.01</v>
      </c>
      <c r="E20" s="45">
        <f t="shared" si="0"/>
        <v>7359.93</v>
      </c>
      <c r="F20" s="36"/>
      <c r="H20" s="3"/>
    </row>
    <row r="21" spans="1:8" ht="15.75">
      <c r="A21" s="55">
        <v>15</v>
      </c>
      <c r="B21" s="56" t="s">
        <v>19</v>
      </c>
      <c r="C21" s="6">
        <v>0</v>
      </c>
      <c r="D21" s="6"/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1077.81</v>
      </c>
      <c r="D22" s="6">
        <v>862.27</v>
      </c>
      <c r="E22" s="45">
        <f t="shared" si="0"/>
        <v>1940.08</v>
      </c>
      <c r="F22" s="36"/>
      <c r="H22" s="3"/>
    </row>
    <row r="23" spans="1:8" ht="15.75">
      <c r="A23" s="55">
        <v>17</v>
      </c>
      <c r="B23" s="56" t="s">
        <v>21</v>
      </c>
      <c r="C23" s="6">
        <v>2553.15</v>
      </c>
      <c r="D23" s="6">
        <v>2042.6</v>
      </c>
      <c r="E23" s="45">
        <f t="shared" si="0"/>
        <v>4595.75</v>
      </c>
      <c r="F23" s="36"/>
      <c r="H23" s="3"/>
    </row>
    <row r="24" spans="1:8" ht="15.75">
      <c r="A24" s="55">
        <v>18</v>
      </c>
      <c r="B24" s="56" t="s">
        <v>22</v>
      </c>
      <c r="C24" s="6">
        <v>5087.59</v>
      </c>
      <c r="D24" s="6">
        <v>4070.59</v>
      </c>
      <c r="E24" s="45">
        <f t="shared" si="0"/>
        <v>9158.18</v>
      </c>
      <c r="F24" s="36"/>
      <c r="H24" s="3"/>
    </row>
    <row r="25" spans="1:8" ht="15.75">
      <c r="A25" s="55">
        <v>19</v>
      </c>
      <c r="B25" s="56" t="s">
        <v>23</v>
      </c>
      <c r="C25" s="6">
        <v>664.57</v>
      </c>
      <c r="D25" s="6">
        <v>531.7</v>
      </c>
      <c r="E25" s="45">
        <f t="shared" si="0"/>
        <v>1196.27</v>
      </c>
      <c r="F25" s="36"/>
      <c r="H25" s="3"/>
    </row>
    <row r="26" spans="1:8" ht="15.75">
      <c r="A26" s="55">
        <v>20</v>
      </c>
      <c r="B26" s="56" t="s">
        <v>24</v>
      </c>
      <c r="C26" s="6">
        <v>2498.4</v>
      </c>
      <c r="D26" s="6">
        <v>1998.74</v>
      </c>
      <c r="E26" s="45">
        <f t="shared" si="0"/>
        <v>4497.14</v>
      </c>
      <c r="F26" s="36"/>
      <c r="H26" s="3"/>
    </row>
    <row r="27" spans="1:8" ht="15.75">
      <c r="A27" s="55">
        <v>21</v>
      </c>
      <c r="B27" s="56" t="s">
        <v>25</v>
      </c>
      <c r="C27" s="6">
        <v>4390.46</v>
      </c>
      <c r="D27" s="6">
        <v>3513.31</v>
      </c>
      <c r="E27" s="45">
        <f t="shared" si="0"/>
        <v>7903.77</v>
      </c>
      <c r="F27" s="36"/>
      <c r="H27" s="3"/>
    </row>
    <row r="28" spans="1:8" ht="15.75">
      <c r="A28" s="55">
        <v>22</v>
      </c>
      <c r="B28" s="56" t="s">
        <v>26</v>
      </c>
      <c r="C28" s="6">
        <v>37.56</v>
      </c>
      <c r="D28" s="6">
        <v>30.06</v>
      </c>
      <c r="E28" s="45">
        <f t="shared" si="0"/>
        <v>67.62</v>
      </c>
      <c r="F28" s="36"/>
      <c r="H28" s="3"/>
    </row>
    <row r="29" spans="1:8" ht="15.75">
      <c r="A29" s="55">
        <v>23</v>
      </c>
      <c r="B29" s="56" t="s">
        <v>27</v>
      </c>
      <c r="C29" s="6">
        <v>1429.56</v>
      </c>
      <c r="D29" s="6">
        <v>1143.74</v>
      </c>
      <c r="E29" s="45">
        <f t="shared" si="0"/>
        <v>2573.3</v>
      </c>
      <c r="F29" s="36"/>
      <c r="H29" s="3"/>
    </row>
    <row r="30" spans="1:8" ht="15.75">
      <c r="A30" s="55">
        <v>24</v>
      </c>
      <c r="B30" s="56" t="s">
        <v>28</v>
      </c>
      <c r="C30" s="6">
        <v>2572.16</v>
      </c>
      <c r="D30" s="6">
        <v>2057.79</v>
      </c>
      <c r="E30" s="45">
        <f t="shared" si="0"/>
        <v>4629.95</v>
      </c>
      <c r="F30" s="36"/>
      <c r="H30" s="3"/>
    </row>
    <row r="31" spans="1:8" ht="15.75">
      <c r="A31" s="55">
        <v>25</v>
      </c>
      <c r="B31" s="56" t="s">
        <v>29</v>
      </c>
      <c r="C31" s="6">
        <v>7492.71</v>
      </c>
      <c r="D31" s="6">
        <v>5994.13</v>
      </c>
      <c r="E31" s="45">
        <f t="shared" si="0"/>
        <v>13486.84</v>
      </c>
      <c r="F31" s="36"/>
      <c r="H31" s="3"/>
    </row>
    <row r="32" spans="1:8" ht="15.75">
      <c r="A32" s="55">
        <v>26</v>
      </c>
      <c r="B32" s="56" t="s">
        <v>30</v>
      </c>
      <c r="C32" s="6">
        <v>8573.53</v>
      </c>
      <c r="D32" s="6">
        <v>6858.92</v>
      </c>
      <c r="E32" s="45">
        <f t="shared" si="0"/>
        <v>15432.45</v>
      </c>
      <c r="F32" s="36"/>
      <c r="H32" s="3"/>
    </row>
    <row r="33" spans="1:8" ht="15.75">
      <c r="A33" s="55">
        <v>27</v>
      </c>
      <c r="B33" s="56" t="s">
        <v>40</v>
      </c>
      <c r="C33" s="6">
        <v>448.79</v>
      </c>
      <c r="D33" s="6">
        <v>359.01</v>
      </c>
      <c r="E33" s="45">
        <f t="shared" si="0"/>
        <v>807.8</v>
      </c>
      <c r="F33" s="36"/>
      <c r="H33" s="3"/>
    </row>
    <row r="34" spans="1:8" ht="15.75">
      <c r="A34" s="55">
        <v>28</v>
      </c>
      <c r="B34" s="56" t="s">
        <v>41</v>
      </c>
      <c r="C34" s="6">
        <v>5328.44</v>
      </c>
      <c r="D34" s="6">
        <v>4263.14</v>
      </c>
      <c r="E34" s="45">
        <f t="shared" si="0"/>
        <v>9591.58</v>
      </c>
      <c r="F34" s="36"/>
      <c r="H34" s="3"/>
    </row>
    <row r="35" spans="1:8" ht="15.75">
      <c r="A35" s="55">
        <v>29</v>
      </c>
      <c r="B35" s="56" t="s">
        <v>42</v>
      </c>
      <c r="C35" s="6">
        <v>3536.74</v>
      </c>
      <c r="D35" s="6">
        <v>2829.31</v>
      </c>
      <c r="E35" s="45">
        <f t="shared" si="0"/>
        <v>6366.049999999999</v>
      </c>
      <c r="F35" s="36"/>
      <c r="H35" s="3"/>
    </row>
    <row r="36" spans="1:8" ht="15.75">
      <c r="A36" s="55">
        <v>30</v>
      </c>
      <c r="B36" s="56" t="s">
        <v>44</v>
      </c>
      <c r="C36" s="6">
        <v>2200.36</v>
      </c>
      <c r="D36" s="6">
        <v>1760.43</v>
      </c>
      <c r="E36" s="45">
        <f t="shared" si="0"/>
        <v>3960.79</v>
      </c>
      <c r="F36" s="36"/>
      <c r="H36" s="3"/>
    </row>
    <row r="37" spans="1:8" ht="15.75">
      <c r="A37" s="55">
        <v>31</v>
      </c>
      <c r="B37" s="56" t="s">
        <v>45</v>
      </c>
      <c r="C37" s="6">
        <v>0</v>
      </c>
      <c r="D37" s="6"/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1608.87</v>
      </c>
      <c r="D38" s="6">
        <v>1287.09</v>
      </c>
      <c r="E38" s="45">
        <f t="shared" si="0"/>
        <v>2895.96</v>
      </c>
      <c r="F38" s="36"/>
      <c r="H38" s="3"/>
    </row>
    <row r="39" spans="1:8" ht="15.75">
      <c r="A39" s="55">
        <v>33</v>
      </c>
      <c r="B39" s="56" t="s">
        <v>60</v>
      </c>
      <c r="C39" s="6">
        <v>479.87</v>
      </c>
      <c r="D39" s="6">
        <v>383.91</v>
      </c>
      <c r="E39" s="45">
        <f t="shared" si="0"/>
        <v>863.78</v>
      </c>
      <c r="F39" s="36"/>
      <c r="H39" s="3"/>
    </row>
    <row r="40" spans="1:8" ht="15.75">
      <c r="A40" s="55">
        <v>34</v>
      </c>
      <c r="B40" s="56" t="s">
        <v>61</v>
      </c>
      <c r="C40" s="6">
        <v>1148.37</v>
      </c>
      <c r="D40" s="6">
        <v>918.64</v>
      </c>
      <c r="E40" s="45">
        <f t="shared" si="0"/>
        <v>2067.0099999999998</v>
      </c>
      <c r="F40" s="36"/>
      <c r="H40" s="3"/>
    </row>
    <row r="41" spans="1:8" ht="15.75">
      <c r="A41" s="55">
        <v>35</v>
      </c>
      <c r="B41" s="56" t="s">
        <v>71</v>
      </c>
      <c r="C41" s="6">
        <v>37.35</v>
      </c>
      <c r="D41" s="6">
        <v>29.89</v>
      </c>
      <c r="E41" s="45">
        <f t="shared" si="0"/>
        <v>67.24000000000001</v>
      </c>
      <c r="F41" s="36"/>
      <c r="H41" s="3"/>
    </row>
    <row r="42" spans="1:8" ht="15.75">
      <c r="A42" s="57"/>
      <c r="B42" s="57" t="s">
        <v>31</v>
      </c>
      <c r="C42" s="68">
        <f>SUM(C7:C41)</f>
        <v>113531.81999999999</v>
      </c>
      <c r="D42" s="68">
        <f>SUM(D7:D41)</f>
        <v>90830.17999999996</v>
      </c>
      <c r="E42" s="45">
        <f t="shared" si="0"/>
        <v>204361.99999999994</v>
      </c>
      <c r="F42" s="36"/>
      <c r="H42" s="3"/>
    </row>
    <row r="44" ht="12.75">
      <c r="D44" s="3"/>
    </row>
    <row r="45" spans="3:5" ht="12.75">
      <c r="C45" s="3"/>
      <c r="E45" s="3"/>
    </row>
    <row r="46" spans="4:5" ht="12.75">
      <c r="D46" s="3"/>
      <c r="E46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3">
      <selection activeCell="B6" sqref="B6:C40"/>
    </sheetView>
  </sheetViews>
  <sheetFormatPr defaultColWidth="9.140625" defaultRowHeight="12.75"/>
  <cols>
    <col min="1" max="1" width="31.28125" style="0" bestFit="1" customWidth="1"/>
    <col min="2" max="2" width="13.7109375" style="0" bestFit="1" customWidth="1"/>
    <col min="3" max="3" width="11.8515625" style="0" customWidth="1"/>
    <col min="4" max="4" width="12.28125" style="0" customWidth="1"/>
    <col min="6" max="6" width="12.7109375" style="0" customWidth="1"/>
    <col min="10" max="10" width="13.7109375" style="0" customWidth="1"/>
  </cols>
  <sheetData>
    <row r="2" spans="1:10" ht="33.75" customHeight="1">
      <c r="A2" s="80" t="s">
        <v>81</v>
      </c>
      <c r="B2" s="81"/>
      <c r="C2" s="81"/>
      <c r="D2" s="81"/>
      <c r="E2" s="81"/>
      <c r="F2" s="81"/>
      <c r="G2" s="81"/>
      <c r="H2" s="81"/>
      <c r="I2" s="81"/>
      <c r="J2" s="81"/>
    </row>
    <row r="3" spans="1:5" ht="15">
      <c r="A3" s="35"/>
      <c r="B3" s="35"/>
      <c r="C3" s="34"/>
      <c r="D3" s="34"/>
      <c r="E3" s="34"/>
    </row>
    <row r="4" spans="1:5" ht="15" thickBot="1">
      <c r="A4" s="36"/>
      <c r="B4" s="37"/>
      <c r="C4" s="36"/>
      <c r="D4" s="38"/>
      <c r="E4" s="36"/>
    </row>
    <row r="5" spans="1:5" ht="60.75" thickBot="1">
      <c r="A5" s="51" t="s">
        <v>1</v>
      </c>
      <c r="B5" s="46" t="s">
        <v>32</v>
      </c>
      <c r="C5" s="46" t="s">
        <v>33</v>
      </c>
      <c r="D5" s="47" t="s">
        <v>78</v>
      </c>
      <c r="E5" s="36"/>
    </row>
    <row r="6" spans="1:5" ht="15.75">
      <c r="A6" s="56" t="s">
        <v>6</v>
      </c>
      <c r="B6" s="44">
        <v>473.49</v>
      </c>
      <c r="C6" s="44">
        <v>378.8</v>
      </c>
      <c r="D6" s="45">
        <f>B6+C6</f>
        <v>852.29</v>
      </c>
      <c r="E6" s="36"/>
    </row>
    <row r="7" spans="1:5" ht="15.75">
      <c r="A7" s="56" t="s">
        <v>7</v>
      </c>
      <c r="B7" s="6"/>
      <c r="C7" s="6"/>
      <c r="D7" s="45">
        <f aca="true" t="shared" si="0" ref="D7:D41">B7+C7</f>
        <v>0</v>
      </c>
      <c r="E7" s="36"/>
    </row>
    <row r="8" spans="1:5" ht="15.75">
      <c r="A8" s="56" t="s">
        <v>8</v>
      </c>
      <c r="B8" s="1"/>
      <c r="C8" s="6"/>
      <c r="D8" s="45">
        <f t="shared" si="0"/>
        <v>0</v>
      </c>
      <c r="E8" s="36"/>
    </row>
    <row r="9" spans="1:5" ht="15.75">
      <c r="A9" s="56" t="s">
        <v>9</v>
      </c>
      <c r="B9" s="6"/>
      <c r="C9" s="6"/>
      <c r="D9" s="45">
        <f t="shared" si="0"/>
        <v>0</v>
      </c>
      <c r="E9" s="36"/>
    </row>
    <row r="10" spans="1:5" ht="15.75">
      <c r="A10" s="56" t="s">
        <v>10</v>
      </c>
      <c r="B10" s="6"/>
      <c r="C10" s="6"/>
      <c r="D10" s="45">
        <f t="shared" si="0"/>
        <v>0</v>
      </c>
      <c r="E10" s="36"/>
    </row>
    <row r="11" spans="1:5" ht="15.75">
      <c r="A11" s="56" t="s">
        <v>11</v>
      </c>
      <c r="B11" s="6">
        <v>171.82</v>
      </c>
      <c r="C11" s="6">
        <v>137.46</v>
      </c>
      <c r="D11" s="45">
        <f t="shared" si="0"/>
        <v>309.28</v>
      </c>
      <c r="E11" s="36"/>
    </row>
    <row r="12" spans="1:5" ht="15.75">
      <c r="A12" s="56" t="s">
        <v>59</v>
      </c>
      <c r="B12" s="6"/>
      <c r="C12" s="6"/>
      <c r="D12" s="45">
        <f t="shared" si="0"/>
        <v>0</v>
      </c>
      <c r="E12" s="36"/>
    </row>
    <row r="13" spans="1:5" ht="15.75">
      <c r="A13" s="56" t="s">
        <v>12</v>
      </c>
      <c r="B13" s="6"/>
      <c r="C13" s="6"/>
      <c r="D13" s="45">
        <f t="shared" si="0"/>
        <v>0</v>
      </c>
      <c r="E13" s="36"/>
    </row>
    <row r="14" spans="1:5" ht="15.75">
      <c r="A14" s="56" t="s">
        <v>13</v>
      </c>
      <c r="B14" s="6"/>
      <c r="C14" s="6"/>
      <c r="D14" s="45">
        <f t="shared" si="0"/>
        <v>0</v>
      </c>
      <c r="E14" s="36"/>
    </row>
    <row r="15" spans="1:5" ht="15.75">
      <c r="A15" s="56" t="s">
        <v>14</v>
      </c>
      <c r="B15" s="6">
        <v>471.47</v>
      </c>
      <c r="C15" s="6">
        <v>377.16</v>
      </c>
      <c r="D15" s="45">
        <f t="shared" si="0"/>
        <v>848.6300000000001</v>
      </c>
      <c r="E15" s="36"/>
    </row>
    <row r="16" spans="1:5" ht="15.75">
      <c r="A16" s="56" t="s">
        <v>15</v>
      </c>
      <c r="B16" s="6"/>
      <c r="C16" s="6"/>
      <c r="D16" s="45">
        <f t="shared" si="0"/>
        <v>0</v>
      </c>
      <c r="E16" s="36"/>
    </row>
    <row r="17" spans="1:5" ht="15.75">
      <c r="A17" s="56" t="s">
        <v>16</v>
      </c>
      <c r="B17" s="6"/>
      <c r="C17" s="6"/>
      <c r="D17" s="45">
        <f t="shared" si="0"/>
        <v>0</v>
      </c>
      <c r="E17" s="36"/>
    </row>
    <row r="18" spans="1:5" ht="15.75">
      <c r="A18" s="56" t="s">
        <v>17</v>
      </c>
      <c r="B18" s="6">
        <v>160.36</v>
      </c>
      <c r="C18" s="6">
        <v>128.3</v>
      </c>
      <c r="D18" s="45">
        <f t="shared" si="0"/>
        <v>288.66</v>
      </c>
      <c r="E18" s="36"/>
    </row>
    <row r="19" spans="1:5" ht="15.75">
      <c r="A19" s="56" t="s">
        <v>18</v>
      </c>
      <c r="B19" s="6">
        <v>292.04</v>
      </c>
      <c r="C19" s="6">
        <v>233.62</v>
      </c>
      <c r="D19" s="45">
        <f t="shared" si="0"/>
        <v>525.6600000000001</v>
      </c>
      <c r="E19" s="36"/>
    </row>
    <row r="20" spans="1:5" ht="15.75">
      <c r="A20" s="56" t="s">
        <v>19</v>
      </c>
      <c r="B20" s="6"/>
      <c r="C20" s="6"/>
      <c r="D20" s="45">
        <f t="shared" si="0"/>
        <v>0</v>
      </c>
      <c r="E20" s="36"/>
    </row>
    <row r="21" spans="1:5" ht="15.75">
      <c r="A21" s="56" t="s">
        <v>20</v>
      </c>
      <c r="B21" s="6"/>
      <c r="C21" s="6"/>
      <c r="D21" s="45">
        <f t="shared" si="0"/>
        <v>0</v>
      </c>
      <c r="E21" s="36"/>
    </row>
    <row r="22" spans="1:5" ht="15.75">
      <c r="A22" s="56" t="s">
        <v>21</v>
      </c>
      <c r="B22" s="6"/>
      <c r="C22" s="6"/>
      <c r="D22" s="45">
        <f t="shared" si="0"/>
        <v>0</v>
      </c>
      <c r="E22" s="36"/>
    </row>
    <row r="23" spans="1:5" ht="15.75">
      <c r="A23" s="56" t="s">
        <v>22</v>
      </c>
      <c r="B23" s="6">
        <v>140.67</v>
      </c>
      <c r="C23" s="6">
        <v>112.54</v>
      </c>
      <c r="D23" s="45">
        <f t="shared" si="0"/>
        <v>253.20999999999998</v>
      </c>
      <c r="E23" s="36"/>
    </row>
    <row r="24" spans="1:5" ht="15.75">
      <c r="A24" s="56" t="s">
        <v>23</v>
      </c>
      <c r="B24" s="6"/>
      <c r="C24" s="6"/>
      <c r="D24" s="45">
        <f t="shared" si="0"/>
        <v>0</v>
      </c>
      <c r="E24" s="36"/>
    </row>
    <row r="25" spans="1:5" ht="15.75">
      <c r="A25" s="56" t="s">
        <v>24</v>
      </c>
      <c r="B25" s="6">
        <v>452.19</v>
      </c>
      <c r="C25" s="6">
        <v>361.74</v>
      </c>
      <c r="D25" s="45">
        <f t="shared" si="0"/>
        <v>813.9300000000001</v>
      </c>
      <c r="E25" s="36"/>
    </row>
    <row r="26" spans="1:5" ht="15.75">
      <c r="A26" s="56" t="s">
        <v>25</v>
      </c>
      <c r="B26" s="6"/>
      <c r="C26" s="6"/>
      <c r="D26" s="45">
        <f t="shared" si="0"/>
        <v>0</v>
      </c>
      <c r="E26" s="36"/>
    </row>
    <row r="27" spans="1:5" ht="15.75">
      <c r="A27" s="56" t="s">
        <v>26</v>
      </c>
      <c r="B27" s="6"/>
      <c r="C27" s="6"/>
      <c r="D27" s="45">
        <f t="shared" si="0"/>
        <v>0</v>
      </c>
      <c r="E27" s="36"/>
    </row>
    <row r="28" spans="1:5" ht="15.75">
      <c r="A28" s="56" t="s">
        <v>27</v>
      </c>
      <c r="B28" s="6"/>
      <c r="C28" s="6"/>
      <c r="D28" s="45">
        <f t="shared" si="0"/>
        <v>0</v>
      </c>
      <c r="E28" s="36"/>
    </row>
    <row r="29" spans="1:5" ht="15.75">
      <c r="A29" s="56" t="s">
        <v>28</v>
      </c>
      <c r="B29" s="6">
        <v>150.73</v>
      </c>
      <c r="C29" s="6">
        <v>120.58</v>
      </c>
      <c r="D29" s="45">
        <f t="shared" si="0"/>
        <v>271.31</v>
      </c>
      <c r="E29" s="36"/>
    </row>
    <row r="30" spans="1:5" ht="15.75">
      <c r="A30" s="56" t="s">
        <v>29</v>
      </c>
      <c r="B30" s="6">
        <v>392.52</v>
      </c>
      <c r="C30" s="6">
        <v>314.01</v>
      </c>
      <c r="D30" s="45">
        <f t="shared" si="0"/>
        <v>706.53</v>
      </c>
      <c r="E30" s="36"/>
    </row>
    <row r="31" spans="1:5" ht="15.75">
      <c r="A31" s="56" t="s">
        <v>30</v>
      </c>
      <c r="B31" s="6">
        <v>481.11</v>
      </c>
      <c r="C31" s="6">
        <v>384.87</v>
      </c>
      <c r="D31" s="45">
        <f t="shared" si="0"/>
        <v>865.98</v>
      </c>
      <c r="E31" s="36"/>
    </row>
    <row r="32" spans="1:5" ht="15.75">
      <c r="A32" s="56" t="s">
        <v>40</v>
      </c>
      <c r="B32" s="6"/>
      <c r="C32" s="6"/>
      <c r="D32" s="45">
        <f t="shared" si="0"/>
        <v>0</v>
      </c>
      <c r="E32" s="36"/>
    </row>
    <row r="33" spans="1:5" ht="15.75">
      <c r="A33" s="56" t="s">
        <v>41</v>
      </c>
      <c r="B33" s="6"/>
      <c r="C33" s="6"/>
      <c r="D33" s="45">
        <f t="shared" si="0"/>
        <v>0</v>
      </c>
      <c r="E33" s="36"/>
    </row>
    <row r="34" spans="1:5" ht="15.75">
      <c r="A34" s="56" t="s">
        <v>42</v>
      </c>
      <c r="B34" s="6"/>
      <c r="C34" s="6"/>
      <c r="D34" s="45">
        <f t="shared" si="0"/>
        <v>0</v>
      </c>
      <c r="E34" s="36"/>
    </row>
    <row r="35" spans="1:5" ht="15.75">
      <c r="A35" s="56" t="s">
        <v>44</v>
      </c>
      <c r="B35" s="6">
        <v>160.37</v>
      </c>
      <c r="C35" s="6">
        <v>128.29</v>
      </c>
      <c r="D35" s="45">
        <f t="shared" si="0"/>
        <v>288.65999999999997</v>
      </c>
      <c r="E35" s="36"/>
    </row>
    <row r="36" spans="1:5" ht="15.75">
      <c r="A36" s="56" t="s">
        <v>45</v>
      </c>
      <c r="B36" s="6"/>
      <c r="C36" s="6"/>
      <c r="D36" s="45">
        <f t="shared" si="0"/>
        <v>0</v>
      </c>
      <c r="E36" s="36"/>
    </row>
    <row r="37" spans="1:5" ht="15.75">
      <c r="A37" s="56" t="s">
        <v>47</v>
      </c>
      <c r="B37" s="6"/>
      <c r="C37" s="6"/>
      <c r="D37" s="45">
        <f t="shared" si="0"/>
        <v>0</v>
      </c>
      <c r="E37" s="36"/>
    </row>
    <row r="38" spans="1:5" ht="15.75">
      <c r="A38" s="56" t="s">
        <v>60</v>
      </c>
      <c r="B38" s="6"/>
      <c r="C38" s="6"/>
      <c r="D38" s="45">
        <f t="shared" si="0"/>
        <v>0</v>
      </c>
      <c r="E38" s="36"/>
    </row>
    <row r="39" spans="1:5" ht="15.75">
      <c r="A39" s="56" t="s">
        <v>61</v>
      </c>
      <c r="B39" s="6"/>
      <c r="C39" s="6"/>
      <c r="D39" s="45">
        <f t="shared" si="0"/>
        <v>0</v>
      </c>
      <c r="E39" s="36"/>
    </row>
    <row r="40" spans="1:5" ht="15.75">
      <c r="A40" s="56" t="s">
        <v>71</v>
      </c>
      <c r="B40" s="6"/>
      <c r="C40" s="6"/>
      <c r="D40" s="45">
        <f t="shared" si="0"/>
        <v>0</v>
      </c>
      <c r="E40" s="36"/>
    </row>
    <row r="41" spans="1:5" ht="15.75">
      <c r="A41" s="57" t="s">
        <v>31</v>
      </c>
      <c r="B41" s="68">
        <f>SUM(B6:B40)</f>
        <v>3346.77</v>
      </c>
      <c r="C41" s="68">
        <f>SUM(C6:C40)</f>
        <v>2677.37</v>
      </c>
      <c r="D41" s="45">
        <f t="shared" si="0"/>
        <v>6024.139999999999</v>
      </c>
      <c r="E41" s="36"/>
    </row>
    <row r="44" spans="2:4" ht="12.75">
      <c r="B44" s="3"/>
      <c r="C44" s="3"/>
      <c r="D44" s="3"/>
    </row>
    <row r="45" spans="3:4" ht="12.75">
      <c r="C45" s="3"/>
      <c r="D45" s="3"/>
    </row>
    <row r="46" ht="12.75">
      <c r="D46" s="3"/>
    </row>
  </sheetData>
  <mergeCells count="1">
    <mergeCell ref="A2:J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4">
      <selection activeCell="C42" sqref="C42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82" t="s">
        <v>82</v>
      </c>
      <c r="B3" s="82"/>
      <c r="C3" s="82"/>
      <c r="D3" s="82"/>
      <c r="E3" s="82"/>
      <c r="F3" s="82"/>
      <c r="G3" s="82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9">
        <v>25484.54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9">
        <v>19196.07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9">
        <v>8313.19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9">
        <v>8161.67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9">
        <v>19828.01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9">
        <v>105538.92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69">
        <v>21678.95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9">
        <v>55328.76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9">
        <v>23563.27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9">
        <v>50998.29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9">
        <v>18123.3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9">
        <v>3635.74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9">
        <v>21680.43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9">
        <v>1828.72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9"/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9">
        <v>1676.19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9">
        <v>5766.97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9">
        <v>20572.39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9">
        <v>1019.03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9">
        <v>4332.01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9">
        <v>27618.87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9">
        <v>11263.67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9">
        <v>10280.84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9">
        <v>5055.2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9">
        <v>23235.93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69">
        <v>7859.07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9">
        <v>1090.36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9">
        <v>11558.03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69">
        <v>18557.39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69">
        <v>886.96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69"/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69">
        <v>926.31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69">
        <v>1523.72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69">
        <v>1762.79</v>
      </c>
      <c r="D39" s="1"/>
      <c r="E39" s="1"/>
      <c r="F39" s="36"/>
      <c r="G39" s="36"/>
    </row>
    <row r="40" spans="1:7" ht="15.75">
      <c r="A40" s="55">
        <v>35</v>
      </c>
      <c r="B40" s="56" t="s">
        <v>71</v>
      </c>
      <c r="C40" s="69">
        <v>511.27</v>
      </c>
      <c r="D40" s="1"/>
      <c r="E40" s="1"/>
      <c r="F40" s="36"/>
      <c r="G40" s="36"/>
    </row>
    <row r="41" spans="1:7" ht="15.75">
      <c r="A41" s="57"/>
      <c r="B41" s="57" t="s">
        <v>31</v>
      </c>
      <c r="C41" s="7">
        <f>SUM(C6:C40)</f>
        <v>538856.86</v>
      </c>
      <c r="D41" s="1"/>
      <c r="E41" s="1"/>
      <c r="F41" s="36"/>
      <c r="G41" s="36"/>
    </row>
    <row r="42" spans="1:7" ht="14.25">
      <c r="A42" s="36"/>
      <c r="B42" s="36"/>
      <c r="C42" s="38"/>
      <c r="D42" s="1"/>
      <c r="E42" s="1"/>
      <c r="F42" s="36"/>
      <c r="G42" s="36"/>
    </row>
    <row r="43" spans="1:7" ht="14.25">
      <c r="A43" s="36"/>
      <c r="B43" s="36"/>
      <c r="C43" s="38"/>
      <c r="D43" s="1"/>
      <c r="E43" s="36"/>
      <c r="F43" s="36"/>
      <c r="G43" s="36"/>
    </row>
    <row r="44" spans="3:4" ht="12.75">
      <c r="C44" s="3"/>
      <c r="D44" s="3"/>
    </row>
    <row r="45" spans="2:4" ht="12.75">
      <c r="B45" s="3"/>
      <c r="C45" s="3"/>
      <c r="D45" s="5"/>
    </row>
    <row r="46" spans="3:4" ht="12.75">
      <c r="C46" s="3"/>
      <c r="D46" s="3"/>
    </row>
    <row r="47" spans="3:4" ht="12.75">
      <c r="C47" s="3"/>
      <c r="D47" s="3"/>
    </row>
    <row r="49" spans="3:4" ht="12.75">
      <c r="C49" s="3"/>
      <c r="D49" s="3"/>
    </row>
    <row r="50" ht="12.75"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2"/>
  <sheetViews>
    <sheetView workbookViewId="0" topLeftCell="A1">
      <selection activeCell="F37" sqref="F37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83" t="s">
        <v>83</v>
      </c>
      <c r="B4" s="83"/>
      <c r="C4" s="83"/>
      <c r="D4" s="83"/>
      <c r="E4" s="83"/>
      <c r="F4" s="83"/>
      <c r="G4" s="83"/>
      <c r="H4" s="83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15445.47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/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6">
        <v>934.43</v>
      </c>
    </row>
    <row r="10" spans="1:3" ht="15.75">
      <c r="A10" s="55">
        <v>4</v>
      </c>
      <c r="B10" s="56" t="s">
        <v>9</v>
      </c>
      <c r="C10" s="66"/>
    </row>
    <row r="11" spans="1:3" ht="15.75">
      <c r="A11" s="55">
        <v>5</v>
      </c>
      <c r="B11" s="56" t="s">
        <v>10</v>
      </c>
      <c r="C11" s="66"/>
    </row>
    <row r="12" spans="1:3" ht="15.75">
      <c r="A12" s="55">
        <v>6</v>
      </c>
      <c r="B12" s="56" t="s">
        <v>11</v>
      </c>
      <c r="C12" s="66">
        <v>7680.7</v>
      </c>
    </row>
    <row r="13" spans="1:3" ht="15.75">
      <c r="A13" s="55">
        <v>7</v>
      </c>
      <c r="B13" s="56" t="s">
        <v>59</v>
      </c>
      <c r="C13" s="66">
        <v>3317.9</v>
      </c>
    </row>
    <row r="14" spans="1:3" ht="15.75">
      <c r="A14" s="55">
        <v>8</v>
      </c>
      <c r="B14" s="56" t="s">
        <v>12</v>
      </c>
      <c r="C14" s="66">
        <v>24628.54</v>
      </c>
    </row>
    <row r="15" spans="1:3" ht="15.75">
      <c r="A15" s="55">
        <v>9</v>
      </c>
      <c r="B15" s="56" t="s">
        <v>13</v>
      </c>
      <c r="C15" s="66">
        <v>6816.7</v>
      </c>
    </row>
    <row r="16" spans="1:3" ht="15.75">
      <c r="A16" s="55">
        <v>10</v>
      </c>
      <c r="B16" s="56" t="s">
        <v>14</v>
      </c>
      <c r="C16" s="66">
        <v>27316.26</v>
      </c>
    </row>
    <row r="17" spans="1:3" ht="15.75">
      <c r="A17" s="55">
        <v>11</v>
      </c>
      <c r="B17" s="56" t="s">
        <v>15</v>
      </c>
      <c r="C17" s="66">
        <v>2040.65</v>
      </c>
    </row>
    <row r="18" spans="1:3" ht="15.75">
      <c r="A18" s="55">
        <v>12</v>
      </c>
      <c r="B18" s="56" t="s">
        <v>16</v>
      </c>
      <c r="C18" s="66">
        <v>1488.23</v>
      </c>
    </row>
    <row r="19" spans="1:3" ht="15.75">
      <c r="A19" s="55">
        <v>13</v>
      </c>
      <c r="B19" s="56" t="s">
        <v>17</v>
      </c>
      <c r="C19" s="66">
        <v>10241.98</v>
      </c>
    </row>
    <row r="20" spans="1:3" ht="15.75">
      <c r="A20" s="55">
        <v>14</v>
      </c>
      <c r="B20" s="56" t="s">
        <v>18</v>
      </c>
      <c r="C20" s="66"/>
    </row>
    <row r="21" spans="1:3" ht="15.75">
      <c r="A21" s="55">
        <v>15</v>
      </c>
      <c r="B21" s="56" t="s">
        <v>19</v>
      </c>
      <c r="C21" s="66"/>
    </row>
    <row r="22" spans="1:3" ht="15.75">
      <c r="A22" s="55">
        <v>16</v>
      </c>
      <c r="B22" s="56" t="s">
        <v>20</v>
      </c>
      <c r="C22" s="66">
        <v>358.8</v>
      </c>
    </row>
    <row r="23" spans="1:3" ht="15.75">
      <c r="A23" s="55">
        <v>17</v>
      </c>
      <c r="B23" s="56" t="s">
        <v>21</v>
      </c>
      <c r="C23" s="66">
        <v>4312.48</v>
      </c>
    </row>
    <row r="24" spans="1:3" ht="15.75">
      <c r="A24" s="55">
        <v>18</v>
      </c>
      <c r="B24" s="56" t="s">
        <v>22</v>
      </c>
      <c r="C24" s="66">
        <v>1520.24</v>
      </c>
    </row>
    <row r="25" spans="1:3" ht="15.75">
      <c r="A25" s="55">
        <v>19</v>
      </c>
      <c r="B25" s="56" t="s">
        <v>23</v>
      </c>
      <c r="C25" s="66">
        <v>784.95</v>
      </c>
    </row>
    <row r="26" spans="1:3" ht="15.75">
      <c r="A26" s="55">
        <v>20</v>
      </c>
      <c r="B26" s="56" t="s">
        <v>24</v>
      </c>
      <c r="C26" s="66">
        <v>1180.22</v>
      </c>
    </row>
    <row r="27" spans="1:3" ht="15.75">
      <c r="A27" s="55">
        <v>21</v>
      </c>
      <c r="B27" s="56" t="s">
        <v>25</v>
      </c>
      <c r="C27" s="66">
        <v>546.33</v>
      </c>
    </row>
    <row r="28" spans="1:3" ht="15.75">
      <c r="A28" s="55">
        <v>22</v>
      </c>
      <c r="B28" s="56" t="s">
        <v>26</v>
      </c>
      <c r="C28" s="66">
        <v>5252.76</v>
      </c>
    </row>
    <row r="29" spans="1:3" ht="15.75">
      <c r="A29" s="55">
        <v>23</v>
      </c>
      <c r="B29" s="56" t="s">
        <v>27</v>
      </c>
      <c r="C29" s="66"/>
    </row>
    <row r="30" spans="1:3" ht="15.75">
      <c r="A30" s="55">
        <v>24</v>
      </c>
      <c r="B30" s="56" t="s">
        <v>28</v>
      </c>
      <c r="C30" s="66"/>
    </row>
    <row r="31" spans="1:3" ht="15.75">
      <c r="A31" s="55">
        <v>25</v>
      </c>
      <c r="B31" s="56" t="s">
        <v>29</v>
      </c>
      <c r="C31" s="66">
        <v>7519.58</v>
      </c>
    </row>
    <row r="32" spans="1:3" ht="15.75">
      <c r="A32" s="55">
        <v>26</v>
      </c>
      <c r="B32" s="56" t="s">
        <v>30</v>
      </c>
      <c r="C32" s="66">
        <v>2877.51</v>
      </c>
    </row>
    <row r="33" spans="1:3" ht="15.75">
      <c r="A33" s="55">
        <v>27</v>
      </c>
      <c r="B33" s="56" t="s">
        <v>40</v>
      </c>
      <c r="C33" s="66"/>
    </row>
    <row r="34" spans="1:3" ht="15.75">
      <c r="A34" s="55">
        <v>28</v>
      </c>
      <c r="B34" s="56" t="s">
        <v>41</v>
      </c>
      <c r="C34" s="66">
        <v>3881.96</v>
      </c>
    </row>
    <row r="35" spans="1:3" ht="15.75">
      <c r="A35" s="55">
        <v>29</v>
      </c>
      <c r="B35" s="56" t="s">
        <v>42</v>
      </c>
      <c r="C35" s="66">
        <v>3096.73</v>
      </c>
    </row>
    <row r="36" spans="1:3" ht="15.75">
      <c r="A36" s="55">
        <v>30</v>
      </c>
      <c r="B36" s="56" t="s">
        <v>44</v>
      </c>
      <c r="C36" s="66"/>
    </row>
    <row r="37" spans="1:3" ht="15.75">
      <c r="A37" s="55">
        <v>31</v>
      </c>
      <c r="B37" s="56" t="s">
        <v>45</v>
      </c>
      <c r="C37" s="66"/>
    </row>
    <row r="38" spans="1:3" ht="15.75">
      <c r="A38" s="55">
        <v>32</v>
      </c>
      <c r="B38" s="56" t="s">
        <v>47</v>
      </c>
      <c r="C38" s="66"/>
    </row>
    <row r="39" spans="1:3" ht="15.75">
      <c r="A39" s="55">
        <v>33</v>
      </c>
      <c r="B39" s="56" t="s">
        <v>60</v>
      </c>
      <c r="C39" s="66"/>
    </row>
    <row r="40" spans="1:3" ht="15.75">
      <c r="A40" s="55">
        <v>34</v>
      </c>
      <c r="B40" s="56" t="s">
        <v>61</v>
      </c>
      <c r="C40" s="66"/>
    </row>
    <row r="41" spans="1:3" ht="15.75">
      <c r="A41" s="55">
        <v>35</v>
      </c>
      <c r="B41" s="56" t="s">
        <v>71</v>
      </c>
      <c r="C41" s="66"/>
    </row>
    <row r="42" spans="1:3" ht="15.75">
      <c r="A42" s="57"/>
      <c r="B42" s="57" t="s">
        <v>31</v>
      </c>
      <c r="C42" s="67">
        <f>SUM(C7:C41)</f>
        <v>131242.41999999998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E26" sqref="E26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83" t="s">
        <v>84</v>
      </c>
      <c r="B3" s="83"/>
      <c r="C3" s="83"/>
      <c r="D3" s="83"/>
      <c r="E3" s="83"/>
      <c r="F3" s="83"/>
      <c r="G3" s="83"/>
    </row>
    <row r="4" spans="1:7" ht="15">
      <c r="A4" s="84"/>
      <c r="B4" s="84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25786.4</v>
      </c>
      <c r="D6" s="6">
        <v>63468.63</v>
      </c>
      <c r="E6" s="7">
        <f>C6+D6</f>
        <v>89255.03</v>
      </c>
      <c r="F6" s="36"/>
      <c r="G6" s="36"/>
    </row>
    <row r="7" spans="1:7" ht="15.75">
      <c r="A7" s="55">
        <v>2</v>
      </c>
      <c r="B7" s="56" t="s">
        <v>7</v>
      </c>
      <c r="C7" s="6">
        <f>4160.84+2947.65</f>
        <v>7108.49</v>
      </c>
      <c r="D7" s="6">
        <f>7680.34+6595.69</f>
        <v>14276.029999999999</v>
      </c>
      <c r="E7" s="7">
        <f aca="true" t="shared" si="0" ref="E7:E40">C7+D7</f>
        <v>21384.519999999997</v>
      </c>
      <c r="F7" s="36"/>
      <c r="G7" s="36"/>
    </row>
    <row r="8" spans="1:7" ht="15.75">
      <c r="A8" s="55">
        <v>3</v>
      </c>
      <c r="B8" s="56" t="s">
        <v>8</v>
      </c>
      <c r="C8" s="6">
        <v>3514.02</v>
      </c>
      <c r="D8" s="6">
        <v>3972.71</v>
      </c>
      <c r="E8" s="7">
        <f t="shared" si="0"/>
        <v>7486.73</v>
      </c>
      <c r="F8" s="36"/>
      <c r="G8" s="36"/>
    </row>
    <row r="9" spans="1:7" ht="15.75">
      <c r="A9" s="55">
        <v>4</v>
      </c>
      <c r="B9" s="56" t="s">
        <v>9</v>
      </c>
      <c r="C9" s="6">
        <v>681.36</v>
      </c>
      <c r="D9" s="6">
        <v>2858.69</v>
      </c>
      <c r="E9" s="7">
        <f t="shared" si="0"/>
        <v>3540.05</v>
      </c>
      <c r="F9" s="36"/>
      <c r="G9" s="36"/>
    </row>
    <row r="10" spans="1:7" ht="15.75">
      <c r="A10" s="55">
        <v>5</v>
      </c>
      <c r="B10" s="56" t="s">
        <v>10</v>
      </c>
      <c r="C10" s="6">
        <f>13129.33+106.81</f>
        <v>13236.14</v>
      </c>
      <c r="D10" s="6">
        <f>19280.3+1481.53</f>
        <v>20761.829999999998</v>
      </c>
      <c r="E10" s="7">
        <f t="shared" si="0"/>
        <v>33997.97</v>
      </c>
      <c r="F10" s="36"/>
      <c r="G10" s="36"/>
    </row>
    <row r="11" spans="1:7" ht="15.75">
      <c r="A11" s="55">
        <v>6</v>
      </c>
      <c r="B11" s="56" t="s">
        <v>11</v>
      </c>
      <c r="C11" s="6">
        <f>27462.01+6853.97+13110.99</f>
        <v>47426.969999999994</v>
      </c>
      <c r="D11" s="6">
        <f>45927.76+11247.25+31823.44</f>
        <v>88998.45</v>
      </c>
      <c r="E11" s="7">
        <f t="shared" si="0"/>
        <v>136425.41999999998</v>
      </c>
      <c r="F11" s="36"/>
      <c r="G11" s="36"/>
    </row>
    <row r="12" spans="1:7" ht="15.75">
      <c r="A12" s="55">
        <v>7</v>
      </c>
      <c r="B12" s="56" t="s">
        <v>59</v>
      </c>
      <c r="C12" s="6">
        <f>1627.14+1213.61+3679.46+424.64+4090.51</f>
        <v>11035.36</v>
      </c>
      <c r="D12" s="6">
        <f>4150.37+3047.57+5398.92+1575.13+4188.82</f>
        <v>18360.81</v>
      </c>
      <c r="E12" s="7">
        <f t="shared" si="0"/>
        <v>29396.170000000002</v>
      </c>
      <c r="F12" s="36"/>
      <c r="G12" s="36"/>
    </row>
    <row r="13" spans="1:7" ht="15.75">
      <c r="A13" s="55">
        <v>8</v>
      </c>
      <c r="B13" s="56" t="s">
        <v>12</v>
      </c>
      <c r="C13" s="6">
        <v>46376.31</v>
      </c>
      <c r="D13" s="6">
        <v>77984.44</v>
      </c>
      <c r="E13" s="7">
        <f t="shared" si="0"/>
        <v>124360.75</v>
      </c>
      <c r="F13" s="36"/>
      <c r="G13" s="36"/>
    </row>
    <row r="14" spans="1:7" ht="15.75">
      <c r="A14" s="55">
        <v>9</v>
      </c>
      <c r="B14" s="56" t="s">
        <v>13</v>
      </c>
      <c r="C14" s="6">
        <f>9578.19+4610.66</f>
        <v>14188.85</v>
      </c>
      <c r="D14" s="6">
        <f>27060.04+7534.56</f>
        <v>34594.6</v>
      </c>
      <c r="E14" s="7">
        <f t="shared" si="0"/>
        <v>48783.45</v>
      </c>
      <c r="F14" s="36"/>
      <c r="G14" s="36"/>
    </row>
    <row r="15" spans="1:7" ht="15.75">
      <c r="A15" s="55">
        <v>10</v>
      </c>
      <c r="B15" s="56" t="s">
        <v>14</v>
      </c>
      <c r="C15" s="6">
        <f>9923.79+769.94+7127.51</f>
        <v>17821.24</v>
      </c>
      <c r="D15" s="6">
        <f>16849.13+1779.1+9578.66</f>
        <v>28206.89</v>
      </c>
      <c r="E15" s="7">
        <f t="shared" si="0"/>
        <v>46028.130000000005</v>
      </c>
      <c r="F15" s="36"/>
      <c r="G15" s="36"/>
    </row>
    <row r="16" spans="1:7" ht="15.75">
      <c r="A16" s="55">
        <v>11</v>
      </c>
      <c r="B16" s="56" t="s">
        <v>15</v>
      </c>
      <c r="C16" s="6">
        <v>12827.67</v>
      </c>
      <c r="D16" s="6">
        <v>23794.4</v>
      </c>
      <c r="E16" s="7">
        <f t="shared" si="0"/>
        <v>36622.07</v>
      </c>
      <c r="F16" s="36"/>
      <c r="G16" s="36"/>
    </row>
    <row r="17" spans="1:7" ht="15.75">
      <c r="A17" s="55">
        <v>12</v>
      </c>
      <c r="B17" s="56" t="s">
        <v>16</v>
      </c>
      <c r="C17" s="6">
        <v>529.39</v>
      </c>
      <c r="D17" s="6">
        <v>4305</v>
      </c>
      <c r="E17" s="7">
        <f t="shared" si="0"/>
        <v>4834.39</v>
      </c>
      <c r="F17" s="36"/>
      <c r="G17" s="36"/>
    </row>
    <row r="18" spans="1:7" ht="15.75">
      <c r="A18" s="55">
        <v>13</v>
      </c>
      <c r="B18" s="56" t="s">
        <v>17</v>
      </c>
      <c r="C18" s="6">
        <v>6325.02</v>
      </c>
      <c r="D18" s="6">
        <v>24887.85</v>
      </c>
      <c r="E18" s="7">
        <f t="shared" si="0"/>
        <v>31212.87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/>
      <c r="D21" s="6"/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6845.52</v>
      </c>
      <c r="D22" s="6">
        <v>21041.35</v>
      </c>
      <c r="E22" s="7">
        <f t="shared" si="0"/>
        <v>27886.87</v>
      </c>
      <c r="F22" s="36"/>
      <c r="G22" s="36"/>
    </row>
    <row r="23" spans="1:7" ht="15.75">
      <c r="A23" s="55">
        <v>18</v>
      </c>
      <c r="B23" s="56" t="s">
        <v>22</v>
      </c>
      <c r="C23" s="6">
        <f>4319.51+646.34+6467.49+239.08+1958.67</f>
        <v>13631.09</v>
      </c>
      <c r="D23" s="6">
        <f>8499.92+764.59+8220.06+409.71+1168.85</f>
        <v>19063.129999999997</v>
      </c>
      <c r="E23" s="7">
        <f t="shared" si="0"/>
        <v>32694.219999999998</v>
      </c>
      <c r="F23" s="36"/>
      <c r="G23" s="36"/>
    </row>
    <row r="24" spans="1:7" ht="15.75">
      <c r="A24" s="55">
        <v>19</v>
      </c>
      <c r="B24" s="56" t="s">
        <v>23</v>
      </c>
      <c r="C24" s="6">
        <v>824.97</v>
      </c>
      <c r="D24" s="6">
        <v>1445.48</v>
      </c>
      <c r="E24" s="7">
        <f t="shared" si="0"/>
        <v>2270.45</v>
      </c>
      <c r="F24" s="36"/>
      <c r="G24" s="36"/>
    </row>
    <row r="25" spans="1:7" ht="15.75">
      <c r="A25" s="55">
        <v>20</v>
      </c>
      <c r="B25" s="56" t="s">
        <v>24</v>
      </c>
      <c r="C25" s="6">
        <f>1376.95</f>
        <v>1376.95</v>
      </c>
      <c r="D25" s="6">
        <v>970.48</v>
      </c>
      <c r="E25" s="7">
        <f t="shared" si="0"/>
        <v>2347.4300000000003</v>
      </c>
      <c r="F25" s="36"/>
      <c r="G25" s="36"/>
    </row>
    <row r="26" spans="1:7" ht="15.75">
      <c r="A26" s="55">
        <v>21</v>
      </c>
      <c r="B26" s="56" t="s">
        <v>25</v>
      </c>
      <c r="C26" s="6">
        <f>5020.87+3747.65+221.25</f>
        <v>8989.77</v>
      </c>
      <c r="D26" s="6">
        <f>11547.72+4708.03+1710.91</f>
        <v>17966.66</v>
      </c>
      <c r="E26" s="7">
        <f t="shared" si="0"/>
        <v>26956.43</v>
      </c>
      <c r="F26" s="36"/>
      <c r="G26" s="36"/>
    </row>
    <row r="27" spans="1:7" ht="15.75">
      <c r="A27" s="55">
        <v>22</v>
      </c>
      <c r="B27" s="56" t="s">
        <v>26</v>
      </c>
      <c r="C27" s="6">
        <v>6232.66</v>
      </c>
      <c r="D27" s="6">
        <v>7846.92</v>
      </c>
      <c r="E27" s="7">
        <f t="shared" si="0"/>
        <v>14079.58</v>
      </c>
      <c r="F27" s="36"/>
      <c r="G27" s="36"/>
    </row>
    <row r="28" spans="1:7" ht="15.75">
      <c r="A28" s="55">
        <v>23</v>
      </c>
      <c r="B28" s="56" t="s">
        <v>27</v>
      </c>
      <c r="C28" s="6">
        <f>1531.49+485.56</f>
        <v>2017.05</v>
      </c>
      <c r="D28" s="6">
        <f>5255.54+1127.48</f>
        <v>6383.02</v>
      </c>
      <c r="E28" s="7">
        <f t="shared" si="0"/>
        <v>8400.07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7778.53+11684.82+1884.66</f>
        <v>21348.01</v>
      </c>
      <c r="D30" s="6">
        <f>9224.42+20222.1+4077.07</f>
        <v>33523.59</v>
      </c>
      <c r="E30" s="7">
        <f t="shared" si="0"/>
        <v>54871.59999999999</v>
      </c>
      <c r="F30" s="36"/>
      <c r="G30" s="36"/>
    </row>
    <row r="31" spans="1:7" ht="15.75">
      <c r="A31" s="55">
        <v>26</v>
      </c>
      <c r="B31" s="56" t="s">
        <v>30</v>
      </c>
      <c r="C31" s="6">
        <v>447.4</v>
      </c>
      <c r="D31" s="6">
        <v>2630.85</v>
      </c>
      <c r="E31" s="7">
        <f t="shared" si="0"/>
        <v>3078.25</v>
      </c>
      <c r="F31" s="36"/>
      <c r="G31" s="36"/>
    </row>
    <row r="32" spans="1:7" ht="15.75">
      <c r="A32" s="55">
        <v>27</v>
      </c>
      <c r="B32" s="56" t="s">
        <v>40</v>
      </c>
      <c r="C32" s="6">
        <v>389.04</v>
      </c>
      <c r="D32" s="6">
        <v>1052.36</v>
      </c>
      <c r="E32" s="7">
        <f t="shared" si="0"/>
        <v>1441.3999999999999</v>
      </c>
      <c r="F32" s="36"/>
      <c r="G32" s="36"/>
    </row>
    <row r="33" spans="1:7" ht="15.75">
      <c r="A33" s="55">
        <v>28</v>
      </c>
      <c r="B33" s="56" t="s">
        <v>41</v>
      </c>
      <c r="C33" s="6">
        <f>6044.14+426.64+2603.11</f>
        <v>9073.890000000001</v>
      </c>
      <c r="D33" s="6">
        <f>12195.39+1127.39+1918.14</f>
        <v>15240.919999999998</v>
      </c>
      <c r="E33" s="7">
        <f t="shared" si="0"/>
        <v>24314.809999999998</v>
      </c>
      <c r="F33" s="36"/>
      <c r="G33" s="36"/>
    </row>
    <row r="34" spans="1:7" ht="15.75">
      <c r="A34" s="55">
        <v>29</v>
      </c>
      <c r="B34" s="56" t="s">
        <v>42</v>
      </c>
      <c r="C34" s="6">
        <v>10418.27</v>
      </c>
      <c r="D34" s="6">
        <v>22714.38</v>
      </c>
      <c r="E34" s="7">
        <f t="shared" si="0"/>
        <v>33132.65</v>
      </c>
      <c r="F34" s="36"/>
      <c r="G34" s="36"/>
    </row>
    <row r="35" spans="1:7" ht="15.75">
      <c r="A35" s="55">
        <v>30</v>
      </c>
      <c r="B35" s="56" t="s">
        <v>44</v>
      </c>
      <c r="C35" s="6">
        <v>469.29</v>
      </c>
      <c r="D35" s="6">
        <v>1367.57</v>
      </c>
      <c r="E35" s="7">
        <f t="shared" si="0"/>
        <v>1836.86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/>
      <c r="D38" s="6"/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>
        <v>1374.65</v>
      </c>
      <c r="D39" s="6">
        <v>1575.16</v>
      </c>
      <c r="E39" s="7">
        <f t="shared" si="0"/>
        <v>2949.8100000000004</v>
      </c>
      <c r="F39" s="36"/>
      <c r="G39" s="36"/>
    </row>
    <row r="40" spans="1:7" ht="15.75">
      <c r="A40" s="55">
        <v>35</v>
      </c>
      <c r="B40" s="56" t="s">
        <v>71</v>
      </c>
      <c r="C40" s="6"/>
      <c r="D40" s="6"/>
      <c r="E40" s="7">
        <f t="shared" si="0"/>
        <v>0</v>
      </c>
      <c r="F40" s="36"/>
      <c r="G40" s="36"/>
    </row>
    <row r="41" spans="1:7" ht="15.75">
      <c r="A41" s="57"/>
      <c r="B41" s="57" t="s">
        <v>31</v>
      </c>
      <c r="C41" s="6">
        <f>SUM(C6:C40)</f>
        <v>290295.78</v>
      </c>
      <c r="D41" s="6">
        <f>SUM(D6:D40)</f>
        <v>559292.2</v>
      </c>
      <c r="E41" s="7">
        <f>SUM(E6:E40)</f>
        <v>849587.98</v>
      </c>
      <c r="F41" s="36"/>
      <c r="G41" s="36"/>
    </row>
    <row r="42" spans="1:7" ht="14.25">
      <c r="A42" s="36"/>
      <c r="B42" s="36"/>
      <c r="C42" s="36"/>
      <c r="D42" s="36"/>
      <c r="E42" s="1"/>
      <c r="F42" s="36"/>
      <c r="G42" s="36"/>
    </row>
    <row r="43" spans="1:7" ht="14.25">
      <c r="A43" s="36"/>
      <c r="B43" s="36"/>
      <c r="C43" s="36"/>
      <c r="D43" s="36"/>
      <c r="E43" s="36"/>
      <c r="F43" s="36"/>
      <c r="G43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4">
      <selection activeCell="I44" sqref="I44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2" t="s">
        <v>85</v>
      </c>
      <c r="B3" s="82"/>
      <c r="C3" s="82"/>
      <c r="D3" s="82"/>
      <c r="E3" s="82"/>
      <c r="F3" s="82"/>
    </row>
    <row r="4" spans="1:6" ht="15">
      <c r="A4" s="85"/>
      <c r="B4" s="85"/>
      <c r="C4" s="85"/>
      <c r="D4" s="85"/>
      <c r="E4" s="85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6">
        <v>14640</v>
      </c>
      <c r="D6" s="66">
        <v>1680</v>
      </c>
    </row>
    <row r="7" spans="1:4" ht="15.75">
      <c r="A7" s="55">
        <v>2</v>
      </c>
      <c r="B7" s="56" t="s">
        <v>7</v>
      </c>
      <c r="C7" s="66">
        <v>2040</v>
      </c>
      <c r="D7" s="66"/>
    </row>
    <row r="8" spans="1:4" ht="15.75">
      <c r="A8" s="55">
        <v>3</v>
      </c>
      <c r="B8" s="56" t="s">
        <v>8</v>
      </c>
      <c r="C8" s="66">
        <v>600</v>
      </c>
      <c r="D8" s="66"/>
    </row>
    <row r="9" spans="1:4" ht="15.75">
      <c r="A9" s="55">
        <v>4</v>
      </c>
      <c r="B9" s="56" t="s">
        <v>9</v>
      </c>
      <c r="C9" s="66">
        <v>360</v>
      </c>
      <c r="D9" s="66"/>
    </row>
    <row r="10" spans="1:4" ht="15.75">
      <c r="A10" s="55">
        <v>5</v>
      </c>
      <c r="B10" s="56" t="s">
        <v>10</v>
      </c>
      <c r="C10" s="66">
        <v>3600</v>
      </c>
      <c r="D10" s="66"/>
    </row>
    <row r="11" spans="1:4" ht="15.75">
      <c r="A11" s="55">
        <v>6</v>
      </c>
      <c r="B11" s="56" t="s">
        <v>11</v>
      </c>
      <c r="C11" s="66">
        <v>15600</v>
      </c>
      <c r="D11" s="66"/>
    </row>
    <row r="12" spans="1:4" ht="15.75">
      <c r="A12" s="55">
        <v>7</v>
      </c>
      <c r="B12" s="56" t="s">
        <v>59</v>
      </c>
      <c r="C12" s="66">
        <v>3960</v>
      </c>
      <c r="D12" s="66"/>
    </row>
    <row r="13" spans="1:4" ht="15.75">
      <c r="A13" s="55">
        <v>8</v>
      </c>
      <c r="B13" s="56" t="s">
        <v>12</v>
      </c>
      <c r="C13" s="66">
        <v>15720</v>
      </c>
      <c r="D13" s="66">
        <v>3000</v>
      </c>
    </row>
    <row r="14" spans="1:4" ht="15.75">
      <c r="A14" s="55">
        <v>9</v>
      </c>
      <c r="B14" s="56" t="s">
        <v>13</v>
      </c>
      <c r="C14" s="66">
        <v>5760</v>
      </c>
      <c r="D14" s="66">
        <v>480</v>
      </c>
    </row>
    <row r="15" spans="1:4" ht="15.75">
      <c r="A15" s="55">
        <v>10</v>
      </c>
      <c r="B15" s="56" t="s">
        <v>14</v>
      </c>
      <c r="C15" s="66">
        <v>9000</v>
      </c>
      <c r="D15" s="66">
        <v>1080</v>
      </c>
    </row>
    <row r="16" spans="1:4" ht="15.75">
      <c r="A16" s="55">
        <v>11</v>
      </c>
      <c r="B16" s="56" t="s">
        <v>15</v>
      </c>
      <c r="C16" s="66">
        <v>4320</v>
      </c>
      <c r="D16" s="66"/>
    </row>
    <row r="17" spans="1:4" ht="15.75">
      <c r="A17" s="55">
        <v>12</v>
      </c>
      <c r="B17" s="56" t="s">
        <v>16</v>
      </c>
      <c r="C17" s="66">
        <v>840</v>
      </c>
      <c r="D17" s="66"/>
    </row>
    <row r="18" spans="1:4" ht="15.75">
      <c r="A18" s="55">
        <v>13</v>
      </c>
      <c r="B18" s="56" t="s">
        <v>17</v>
      </c>
      <c r="C18" s="66">
        <v>5160</v>
      </c>
      <c r="D18" s="66"/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/>
      <c r="D21" s="66"/>
    </row>
    <row r="22" spans="1:4" ht="15.75">
      <c r="A22" s="55">
        <v>17</v>
      </c>
      <c r="B22" s="56" t="s">
        <v>21</v>
      </c>
      <c r="C22" s="66">
        <v>5280</v>
      </c>
      <c r="D22" s="66"/>
    </row>
    <row r="23" spans="1:4" ht="15.75">
      <c r="A23" s="55">
        <v>18</v>
      </c>
      <c r="B23" s="56" t="s">
        <v>22</v>
      </c>
      <c r="C23" s="66">
        <v>4320</v>
      </c>
      <c r="D23" s="66"/>
    </row>
    <row r="24" spans="1:4" ht="15.75">
      <c r="A24" s="55">
        <v>19</v>
      </c>
      <c r="B24" s="56" t="s">
        <v>23</v>
      </c>
      <c r="C24" s="66">
        <v>480</v>
      </c>
      <c r="D24" s="66"/>
    </row>
    <row r="25" spans="1:4" ht="15.75">
      <c r="A25" s="55">
        <v>20</v>
      </c>
      <c r="B25" s="56" t="s">
        <v>24</v>
      </c>
      <c r="C25" s="66">
        <v>240</v>
      </c>
      <c r="D25" s="66"/>
    </row>
    <row r="26" spans="1:4" ht="15.75">
      <c r="A26" s="55">
        <v>21</v>
      </c>
      <c r="B26" s="56" t="s">
        <v>25</v>
      </c>
      <c r="C26" s="66">
        <v>3360</v>
      </c>
      <c r="D26" s="66"/>
    </row>
    <row r="27" spans="1:4" ht="15.75">
      <c r="A27" s="55">
        <v>22</v>
      </c>
      <c r="B27" s="56" t="s">
        <v>26</v>
      </c>
      <c r="C27" s="66">
        <v>1800</v>
      </c>
      <c r="D27" s="66">
        <v>480</v>
      </c>
    </row>
    <row r="28" spans="1:4" ht="15.75">
      <c r="A28" s="55">
        <v>23</v>
      </c>
      <c r="B28" s="56" t="s">
        <v>27</v>
      </c>
      <c r="C28" s="66">
        <v>1200</v>
      </c>
      <c r="D28" s="66"/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>
        <v>6600</v>
      </c>
      <c r="D30" s="66">
        <v>480</v>
      </c>
    </row>
    <row r="31" spans="1:4" ht="15.75">
      <c r="A31" s="55">
        <v>26</v>
      </c>
      <c r="B31" s="56" t="s">
        <v>30</v>
      </c>
      <c r="C31" s="66">
        <v>720</v>
      </c>
      <c r="D31" s="66"/>
    </row>
    <row r="32" spans="1:4" ht="15.75">
      <c r="A32" s="55">
        <v>27</v>
      </c>
      <c r="B32" s="56" t="s">
        <v>40</v>
      </c>
      <c r="C32" s="66">
        <v>228</v>
      </c>
      <c r="D32" s="66"/>
    </row>
    <row r="33" spans="1:4" ht="15.75">
      <c r="A33" s="55">
        <v>28</v>
      </c>
      <c r="B33" s="56" t="s">
        <v>41</v>
      </c>
      <c r="C33" s="66">
        <v>3600</v>
      </c>
      <c r="D33" s="66">
        <v>480</v>
      </c>
    </row>
    <row r="34" spans="1:4" ht="15.75">
      <c r="A34" s="55">
        <v>29</v>
      </c>
      <c r="B34" s="56" t="s">
        <v>42</v>
      </c>
      <c r="C34" s="66">
        <v>3720</v>
      </c>
      <c r="D34" s="66"/>
    </row>
    <row r="35" spans="1:4" ht="15.75">
      <c r="A35" s="55">
        <v>30</v>
      </c>
      <c r="B35" s="56" t="s">
        <v>44</v>
      </c>
      <c r="C35" s="66">
        <v>120</v>
      </c>
      <c r="D35" s="66"/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/>
      <c r="D38" s="66"/>
    </row>
    <row r="39" spans="1:4" ht="15.75">
      <c r="A39" s="55">
        <v>34</v>
      </c>
      <c r="B39" s="56" t="s">
        <v>61</v>
      </c>
      <c r="C39" s="66">
        <v>240</v>
      </c>
      <c r="D39" s="66"/>
    </row>
    <row r="40" spans="1:4" ht="15.75">
      <c r="A40" s="55">
        <v>35</v>
      </c>
      <c r="B40" s="56" t="s">
        <v>71</v>
      </c>
      <c r="C40" s="66"/>
      <c r="D40" s="66"/>
    </row>
    <row r="41" spans="1:4" ht="15.75">
      <c r="A41" s="57"/>
      <c r="B41" s="57" t="s">
        <v>31</v>
      </c>
      <c r="C41" s="67">
        <f>SUM(C6:C40)</f>
        <v>113508</v>
      </c>
      <c r="D41" s="67">
        <f>SUM(D6:D40)</f>
        <v>7680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workbookViewId="0" topLeftCell="A1">
      <selection activeCell="C13" sqref="C13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86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6">
        <v>46332.98</v>
      </c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/>
    </row>
    <row r="12" spans="1:3" ht="15.75">
      <c r="A12" s="55">
        <v>7</v>
      </c>
      <c r="B12" s="56" t="s">
        <v>59</v>
      </c>
      <c r="C12" s="66">
        <v>144350.25</v>
      </c>
    </row>
    <row r="13" spans="1:3" ht="15.75">
      <c r="A13" s="55">
        <v>8</v>
      </c>
      <c r="B13" s="56" t="s">
        <v>12</v>
      </c>
      <c r="C13" s="66">
        <v>109976.06</v>
      </c>
    </row>
    <row r="14" spans="1:3" ht="15.75">
      <c r="A14" s="55">
        <v>9</v>
      </c>
      <c r="B14" s="56" t="s">
        <v>13</v>
      </c>
      <c r="C14" s="66">
        <v>26852.66</v>
      </c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>
        <v>83742.51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411254.46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3">
      <selection activeCell="E48" sqref="E48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86" t="s">
        <v>87</v>
      </c>
      <c r="B3" s="86"/>
      <c r="C3" s="86"/>
      <c r="D3" s="86"/>
      <c r="E3" s="86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81146.31</v>
      </c>
      <c r="D6" s="36"/>
      <c r="E6" s="36"/>
    </row>
    <row r="7" spans="1:5" ht="15.75">
      <c r="A7" s="55">
        <v>2</v>
      </c>
      <c r="B7" s="56" t="s">
        <v>7</v>
      </c>
      <c r="C7" s="6">
        <v>137.19</v>
      </c>
      <c r="D7" s="36"/>
      <c r="E7" s="36"/>
    </row>
    <row r="8" spans="1:3" ht="15.75">
      <c r="A8" s="55">
        <v>3</v>
      </c>
      <c r="B8" s="56" t="s">
        <v>8</v>
      </c>
      <c r="C8" s="66">
        <v>174.03</v>
      </c>
    </row>
    <row r="9" spans="1:3" ht="15.75">
      <c r="A9" s="55">
        <v>4</v>
      </c>
      <c r="B9" s="56" t="s">
        <v>9</v>
      </c>
      <c r="C9" s="66">
        <v>631.3</v>
      </c>
    </row>
    <row r="10" spans="1:3" ht="15.75">
      <c r="A10" s="55">
        <v>5</v>
      </c>
      <c r="B10" s="56" t="s">
        <v>10</v>
      </c>
      <c r="C10" s="66">
        <v>779.56</v>
      </c>
    </row>
    <row r="11" spans="1:3" ht="15.75">
      <c r="A11" s="55">
        <v>6</v>
      </c>
      <c r="B11" s="56" t="s">
        <v>11</v>
      </c>
      <c r="C11" s="66">
        <v>1273.68</v>
      </c>
    </row>
    <row r="12" spans="1:3" ht="15.75">
      <c r="A12" s="55">
        <v>7</v>
      </c>
      <c r="B12" s="56" t="s">
        <v>59</v>
      </c>
      <c r="C12" s="66">
        <v>738.05</v>
      </c>
    </row>
    <row r="13" spans="1:3" ht="15.75">
      <c r="A13" s="55">
        <v>8</v>
      </c>
      <c r="B13" s="56" t="s">
        <v>12</v>
      </c>
      <c r="C13" s="66">
        <v>159423.88</v>
      </c>
    </row>
    <row r="14" spans="1:3" ht="15.75">
      <c r="A14" s="55">
        <v>9</v>
      </c>
      <c r="B14" s="56" t="s">
        <v>13</v>
      </c>
      <c r="C14" s="66">
        <v>1778.4</v>
      </c>
    </row>
    <row r="15" spans="1:3" ht="15.75">
      <c r="A15" s="55">
        <v>10</v>
      </c>
      <c r="B15" s="56" t="s">
        <v>14</v>
      </c>
      <c r="C15" s="66">
        <v>18033.29</v>
      </c>
    </row>
    <row r="16" spans="1:3" ht="15.75">
      <c r="A16" s="55">
        <v>11</v>
      </c>
      <c r="B16" s="56" t="s">
        <v>15</v>
      </c>
      <c r="C16" s="66">
        <v>458.65</v>
      </c>
    </row>
    <row r="17" spans="1:3" ht="15.75">
      <c r="A17" s="55">
        <v>12</v>
      </c>
      <c r="B17" s="56" t="s">
        <v>16</v>
      </c>
      <c r="C17" s="66">
        <v>1367.25</v>
      </c>
    </row>
    <row r="18" spans="1:3" ht="15.75">
      <c r="A18" s="55">
        <v>13</v>
      </c>
      <c r="B18" s="56" t="s">
        <v>17</v>
      </c>
      <c r="C18" s="66">
        <v>298.17</v>
      </c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>
        <v>114.66</v>
      </c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>
        <v>120.03</v>
      </c>
    </row>
    <row r="26" spans="1:3" ht="15.75">
      <c r="A26" s="55">
        <v>21</v>
      </c>
      <c r="B26" s="56" t="s">
        <v>25</v>
      </c>
      <c r="C26" s="66">
        <v>132299.35</v>
      </c>
    </row>
    <row r="27" spans="1:3" ht="15.75">
      <c r="A27" s="55">
        <v>22</v>
      </c>
      <c r="B27" s="56" t="s">
        <v>26</v>
      </c>
      <c r="C27" s="66">
        <v>816.46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27675.59</v>
      </c>
    </row>
    <row r="31" spans="1:3" ht="15.75">
      <c r="A31" s="55">
        <v>26</v>
      </c>
      <c r="B31" s="56" t="s">
        <v>30</v>
      </c>
      <c r="C31" s="66">
        <v>15225.51</v>
      </c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>
        <v>192.46</v>
      </c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>
        <v>18.43</v>
      </c>
    </row>
    <row r="38" spans="1:3" ht="15.75">
      <c r="A38" s="55">
        <v>33</v>
      </c>
      <c r="B38" s="56" t="s">
        <v>60</v>
      </c>
      <c r="C38" s="66">
        <v>128.04</v>
      </c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442830.2900000001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2021-01-19T09:19:10Z</cp:lastPrinted>
  <dcterms:created xsi:type="dcterms:W3CDTF">2011-06-30T06:54:46Z</dcterms:created>
  <dcterms:modified xsi:type="dcterms:W3CDTF">2021-02-22T07:36:08Z</dcterms:modified>
  <cp:category/>
  <cp:version/>
  <cp:contentType/>
  <cp:contentStatus/>
</cp:coreProperties>
</file>